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9420" windowHeight="11020"/>
  </bookViews>
  <sheets>
    <sheet name="działalność gospodarcza" sheetId="1" r:id="rId1"/>
    <sheet name="przychód z pracy" sheetId="2" r:id="rId2"/>
  </sheets>
  <calcPr calcId="145621"/>
</workbook>
</file>

<file path=xl/calcChain.xml><?xml version="1.0" encoding="utf-8"?>
<calcChain xmlns="http://schemas.openxmlformats.org/spreadsheetml/2006/main">
  <c r="M26" i="1" l="1"/>
  <c r="M30" i="1" s="1"/>
  <c r="L26" i="1"/>
  <c r="L30" i="1" s="1"/>
  <c r="M22" i="1" l="1"/>
  <c r="L22" i="1"/>
  <c r="M24" i="1" l="1"/>
  <c r="M27" i="1"/>
  <c r="L27" i="1"/>
  <c r="G20" i="1"/>
  <c r="H34" i="1" l="1"/>
  <c r="F34" i="1"/>
  <c r="D33" i="2" l="1"/>
  <c r="F33" i="2" s="1"/>
  <c r="N35" i="1" l="1"/>
  <c r="J35" i="1"/>
  <c r="I35" i="1"/>
  <c r="N34" i="1"/>
  <c r="J34" i="1"/>
  <c r="I34" i="1"/>
  <c r="H35" i="1"/>
  <c r="G34" i="1"/>
  <c r="G35" i="1" s="1"/>
  <c r="F35" i="1"/>
  <c r="E34" i="1"/>
  <c r="E35" i="1" s="1"/>
  <c r="H25" i="1"/>
  <c r="G25" i="1"/>
  <c r="N22" i="1"/>
  <c r="N23" i="1" s="1"/>
  <c r="K22" i="1"/>
  <c r="J22" i="1"/>
  <c r="I22" i="1"/>
  <c r="I25" i="1" s="1"/>
  <c r="H22" i="1"/>
  <c r="H23" i="1" s="1"/>
  <c r="F22" i="1"/>
  <c r="F23" i="1" s="1"/>
  <c r="F31" i="1" s="1"/>
  <c r="E22" i="1"/>
  <c r="E23" i="1" s="1"/>
  <c r="E31" i="1" s="1"/>
  <c r="G22" i="1"/>
  <c r="G23" i="1" s="1"/>
  <c r="G31" i="1" s="1"/>
  <c r="H31" i="1" l="1"/>
  <c r="H39" i="1" s="1"/>
  <c r="G39" i="1"/>
  <c r="E39" i="1"/>
  <c r="F39" i="1"/>
  <c r="I23" i="1"/>
  <c r="N26" i="1"/>
  <c r="N27" i="1" s="1"/>
  <c r="C12" i="1" s="1"/>
  <c r="N28" i="1" s="1"/>
  <c r="J23" i="1"/>
  <c r="K23" i="1"/>
  <c r="F30" i="2"/>
  <c r="F31" i="2"/>
  <c r="E31" i="2"/>
  <c r="E30" i="2"/>
  <c r="F28" i="2"/>
  <c r="D8" i="2"/>
  <c r="D17" i="2" s="1"/>
  <c r="F17" i="2" s="1"/>
  <c r="C8" i="2"/>
  <c r="C12" i="2" s="1"/>
  <c r="E12" i="2" s="1"/>
  <c r="K26" i="1" l="1"/>
  <c r="K27" i="1" s="1"/>
  <c r="K31" i="1" s="1"/>
  <c r="K39" i="1" s="1"/>
  <c r="I31" i="1"/>
  <c r="I39" i="1" s="1"/>
  <c r="N29" i="1"/>
  <c r="N31" i="1" s="1"/>
  <c r="J26" i="1"/>
  <c r="J27" i="1" s="1"/>
  <c r="F48" i="1"/>
  <c r="F46" i="1"/>
  <c r="E48" i="1"/>
  <c r="E46" i="1"/>
  <c r="F47" i="1"/>
  <c r="F45" i="1"/>
  <c r="E47" i="1"/>
  <c r="E45" i="1"/>
  <c r="E8" i="2"/>
  <c r="F8" i="2"/>
  <c r="D13" i="2"/>
  <c r="F13" i="2" s="1"/>
  <c r="D12" i="2"/>
  <c r="F12" i="2" s="1"/>
  <c r="D19" i="2"/>
  <c r="F19" i="2" s="1"/>
  <c r="D21" i="2"/>
  <c r="F21" i="2" s="1"/>
  <c r="D11" i="2"/>
  <c r="D20" i="2"/>
  <c r="F20" i="2" s="1"/>
  <c r="D18" i="2"/>
  <c r="F18" i="2" s="1"/>
  <c r="C17" i="2"/>
  <c r="E17" i="2" s="1"/>
  <c r="C21" i="2"/>
  <c r="E21" i="2" s="1"/>
  <c r="C18" i="2"/>
  <c r="E18" i="2" s="1"/>
  <c r="C19" i="2"/>
  <c r="E19" i="2" s="1"/>
  <c r="C20" i="2"/>
  <c r="E20" i="2" s="1"/>
  <c r="C11" i="2"/>
  <c r="E11" i="2" s="1"/>
  <c r="C13" i="2"/>
  <c r="E13" i="2" s="1"/>
  <c r="J31" i="1" l="1"/>
  <c r="J39" i="1" s="1"/>
  <c r="F50" i="1"/>
  <c r="E50" i="1"/>
  <c r="E49" i="1"/>
  <c r="F49" i="1"/>
  <c r="N39" i="1"/>
  <c r="F22" i="2"/>
  <c r="F40" i="2" s="1"/>
  <c r="E14" i="2"/>
  <c r="E26" i="2" s="1"/>
  <c r="E22" i="2"/>
  <c r="E40" i="2" s="1"/>
  <c r="D14" i="2"/>
  <c r="D34" i="2" s="1"/>
  <c r="F34" i="2" s="1"/>
  <c r="F35" i="2" s="1"/>
  <c r="F11" i="2"/>
  <c r="F14" i="2" s="1"/>
  <c r="C14" i="2"/>
  <c r="D22" i="2"/>
  <c r="D40" i="2" s="1"/>
  <c r="C22" i="2"/>
  <c r="D35" i="2" l="1"/>
  <c r="C34" i="2"/>
  <c r="F36" i="2"/>
  <c r="E24" i="2"/>
  <c r="F24" i="2"/>
  <c r="C26" i="2"/>
  <c r="D26" i="2"/>
  <c r="D24" i="2"/>
  <c r="C24" i="2"/>
  <c r="C40" i="2"/>
  <c r="D36" i="2" l="1"/>
  <c r="C35" i="2"/>
  <c r="D27" i="2" s="1"/>
  <c r="F27" i="2" s="1"/>
  <c r="F38" i="2" s="1"/>
  <c r="E34" i="2"/>
  <c r="E35" i="2" s="1"/>
  <c r="F26" i="2"/>
  <c r="C27" i="2" l="1"/>
  <c r="C28" i="2" s="1"/>
  <c r="E28" i="2" s="1"/>
  <c r="E36" i="2" s="1"/>
  <c r="D38" i="2"/>
  <c r="D43" i="2" s="1"/>
  <c r="F43" i="2"/>
  <c r="F41" i="2"/>
  <c r="D41" i="2"/>
  <c r="C36" i="2" l="1"/>
  <c r="C41" i="2" s="1"/>
  <c r="E27" i="2"/>
  <c r="E38" i="2" s="1"/>
  <c r="E43" i="2" s="1"/>
  <c r="F42" i="2"/>
  <c r="D42" i="2"/>
  <c r="C38" i="2" l="1"/>
  <c r="C43" i="2" s="1"/>
  <c r="E41" i="2"/>
  <c r="E42" i="2" s="1"/>
  <c r="C42" i="2" l="1"/>
  <c r="L24" i="1"/>
  <c r="C11" i="1" l="1"/>
  <c r="M28" i="1" l="1"/>
  <c r="M31" i="1" s="1"/>
  <c r="L28" i="1"/>
  <c r="L31" i="1" s="1"/>
</calcChain>
</file>

<file path=xl/sharedStrings.xml><?xml version="1.0" encoding="utf-8"?>
<sst xmlns="http://schemas.openxmlformats.org/spreadsheetml/2006/main" count="115" uniqueCount="92">
  <si>
    <t>Kalkulator porównujący wysokość podatku dochodowego przy zadanym dochodzie</t>
  </si>
  <si>
    <t>dochód</t>
  </si>
  <si>
    <t>podatek</t>
  </si>
  <si>
    <t>składka zdrowotna</t>
  </si>
  <si>
    <t>skala pod.</t>
  </si>
  <si>
    <t>liniówka</t>
  </si>
  <si>
    <t>rok 2021</t>
  </si>
  <si>
    <t>rok 2022</t>
  </si>
  <si>
    <t>opis</t>
  </si>
  <si>
    <t>danina solidarnościowa</t>
  </si>
  <si>
    <t>podstawa</t>
  </si>
  <si>
    <t>kwota</t>
  </si>
  <si>
    <t>L 2021 &lt;=&gt; L 2022</t>
  </si>
  <si>
    <t>L 2021 &lt;=&gt; S 2022</t>
  </si>
  <si>
    <t>S 2021 &lt;=&gt; S 2022</t>
  </si>
  <si>
    <t>warość zmiany obciążeń fiskalnych</t>
  </si>
  <si>
    <t>S 2021 &lt;=&gt; L 2022</t>
  </si>
  <si>
    <t>&lt;= to pole można edytować, reszat wylicza się sama</t>
  </si>
  <si>
    <t>podstaw do ubezp. społ.</t>
  </si>
  <si>
    <t>ubezpiecznie emerytalne</t>
  </si>
  <si>
    <t>ubezpieczenie rentowe</t>
  </si>
  <si>
    <t>ubezpieczenie chorobowe</t>
  </si>
  <si>
    <t>finansuje pracownik</t>
  </si>
  <si>
    <t>finansuje zakład pracy</t>
  </si>
  <si>
    <t>ubezpieczenie emerytalne</t>
  </si>
  <si>
    <t>ubezpieczenie wypadkowe</t>
  </si>
  <si>
    <t>Fundusz Pracy</t>
  </si>
  <si>
    <t>Fundusz Gw. Świdczeń Prac.</t>
  </si>
  <si>
    <t xml:space="preserve">suma: </t>
  </si>
  <si>
    <t>suma składek społecznych</t>
  </si>
  <si>
    <t>podstawa do składki zdrow.</t>
  </si>
  <si>
    <t>koszty uzyskania</t>
  </si>
  <si>
    <t>kwota zmniejszająca podatek</t>
  </si>
  <si>
    <t>składka zdrowotna do odlicz.</t>
  </si>
  <si>
    <t>podstawa opodatkowania</t>
  </si>
  <si>
    <t>zaliczka na podatek</t>
  </si>
  <si>
    <t xml:space="preserve">do wypłaty pracownikowi </t>
  </si>
  <si>
    <t>całkowity koszt zatrudnienia</t>
  </si>
  <si>
    <t>suma obciążeń fiskalnych</t>
  </si>
  <si>
    <t>stosunek % obciążeń fiskalnych do netta</t>
  </si>
  <si>
    <t>stosunek% netto do całk. kosztu zatrudn.</t>
  </si>
  <si>
    <t>wynagrodzenie miesięczne brutto</t>
  </si>
  <si>
    <t>Kalkulator porównuje, w ujęciu miesięcznym i rocznym, poszczególne składniki wynagrodzenia</t>
  </si>
  <si>
    <t>wynagrodzenie miesięczne</t>
  </si>
  <si>
    <t>wynagrodzenie roczne</t>
  </si>
  <si>
    <t xml:space="preserve">oraz składki zdrowotnej dla skali podatkowej i podatku liniowego i ryczałtu, przekształcenia w zo.o. ( jednoosobowa) </t>
  </si>
  <si>
    <t xml:space="preserve">oraz  w komandytowa ( 2 osobowa) , dodano też sp. Z o.o. NIE jednoosobowa </t>
  </si>
  <si>
    <t>przychód</t>
  </si>
  <si>
    <t>stawka ryczałtu w % wybierz z listy</t>
  </si>
  <si>
    <t>wypłacony zysk podaj procent</t>
  </si>
  <si>
    <t>podatek CIT ( dla z.o.o i komandytowej) - wybierz z listy</t>
  </si>
  <si>
    <t>przy dwóch wspólnikach udział komplementariusza w spółce w %</t>
  </si>
  <si>
    <t>&lt;= to pole NIE WOLNO edytować !!!</t>
  </si>
  <si>
    <t>ryczałt</t>
  </si>
  <si>
    <t>sp. Z o.o. jednoosobowa</t>
  </si>
  <si>
    <t>sp. Z o.o. NIE jednoosobowa</t>
  </si>
  <si>
    <t>Ulga dla klasy średniej</t>
  </si>
  <si>
    <t>Składki na Ub. społeczne</t>
  </si>
  <si>
    <t>podatek DOCHODOWY(PRZYCHODOWY)</t>
  </si>
  <si>
    <t>wypłacony zysk</t>
  </si>
  <si>
    <t xml:space="preserve">podatek od dywidendy </t>
  </si>
  <si>
    <t>podatek od dywidendy komandytariusz</t>
  </si>
  <si>
    <t xml:space="preserve"> </t>
  </si>
  <si>
    <t>łącznie suma obciążeń</t>
  </si>
  <si>
    <t>Ryczałt</t>
  </si>
  <si>
    <t xml:space="preserve">Z o.o. = 1 </t>
  </si>
  <si>
    <t xml:space="preserve"> Z o.o. &gt;1</t>
  </si>
  <si>
    <t>sp. Komand.</t>
  </si>
  <si>
    <t>Porównanie obciążeń fiskalnych
 ( L - oznacza podatek liniowy, S - oznacza skalę podatkową, R - ryczałt ewidencjonowany)</t>
  </si>
  <si>
    <t>Zyskujesz</t>
  </si>
  <si>
    <t>Tracisz</t>
  </si>
  <si>
    <t>L 2021 &lt;=&gt; R 2022</t>
  </si>
  <si>
    <t>S 2021 &lt;=&gt; R 2022</t>
  </si>
  <si>
    <t>L 2022 &lt;=&gt; R 2022</t>
  </si>
  <si>
    <t>S 2022 &lt;=&gt; R 2022</t>
  </si>
  <si>
    <t>S 2022 &lt;=&gt; L 2022</t>
  </si>
  <si>
    <t>ulga dla klasy średniej</t>
  </si>
  <si>
    <t>łączna kwota obciążeń fiskalnych (podatki + ubezpieczenie zdrowotne+ społeczne)</t>
  </si>
  <si>
    <t>podatek EC ( dla z.o.o i komandytowej) - wybierz z listy</t>
  </si>
  <si>
    <t>sp. Z o.o. NIE jednoosobowa na EC powstała z przekształcenia z spółki cywilnej lub jawnej</t>
  </si>
  <si>
    <t>sp. Z o.o. NIE jednoosobowa na EC powstała z przekształcenia z  JDG</t>
  </si>
  <si>
    <t>sp. Komandytowa z gł. Wspólnikiem komplementariuszem i sp. Z o.o. komandytariuszem</t>
  </si>
  <si>
    <t>podatek Estoński</t>
  </si>
  <si>
    <t>Ukryte zyski i zrównane z nimi dla EC</t>
  </si>
  <si>
    <t>wypełnić tylko dla EC</t>
  </si>
  <si>
    <t>zysk do rozysponowania po zakończeniu EC</t>
  </si>
  <si>
    <t>podatek od dywidendy komplementariusz, wspólnik w ramach EC</t>
  </si>
  <si>
    <t xml:space="preserve">dane pomocnicze EC </t>
  </si>
  <si>
    <t xml:space="preserve">dane pomocnicze  </t>
  </si>
  <si>
    <t>&lt;= to pole NIE WOLNO edytować !!</t>
  </si>
  <si>
    <t>wypłacony zysk w trakcie EC</t>
  </si>
  <si>
    <t xml:space="preserve">podstawa opodatkowania ( ZYSK BRUTTO)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</si>
</sst>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[$zł-415]_-;\-* #,##0.00\ [$zł-415]_-;_-* &quot;-&quot;??\ [$zł-415]_-;_-@_-"/>
    <numFmt numFmtId="165" formatCode="#,##0.00_ ;\-#,##0.00\ "/>
    <numFmt numFmtId="166" formatCode="#,##0_ ;\-#,##0\ 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4" fillId="4" borderId="0" applyNumberFormat="0" applyBorder="0" applyAlignment="0" applyProtection="0"/>
    <xf numFmtId="0" fontId="5" fillId="5" borderId="0" applyNumberFormat="0" applyBorder="0" applyAlignment="0" applyProtection="0"/>
  </cellStyleXfs>
  <cellXfs count="76">
    <xf numFmtId="0" fontId="0" fillId="0" borderId="0" xfId="0"/>
    <xf numFmtId="164" fontId="0" fillId="0" borderId="0" xfId="0" applyNumberFormat="1"/>
    <xf numFmtId="164" fontId="0" fillId="0" borderId="1" xfId="0" applyNumberFormat="1" applyBorder="1" applyProtection="1"/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0" xfId="0" applyProtection="1"/>
    <xf numFmtId="164" fontId="1" fillId="0" borderId="1" xfId="0" applyNumberFormat="1" applyFont="1" applyBorder="1" applyProtection="1"/>
    <xf numFmtId="164" fontId="2" fillId="3" borderId="1" xfId="0" applyNumberFormat="1" applyFont="1" applyFill="1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10" fontId="0" fillId="0" borderId="1" xfId="1" applyNumberFormat="1" applyFont="1" applyBorder="1"/>
    <xf numFmtId="0" fontId="1" fillId="0" borderId="1" xfId="0" applyFont="1" applyBorder="1"/>
    <xf numFmtId="164" fontId="1" fillId="0" borderId="1" xfId="0" applyNumberFormat="1" applyFont="1" applyBorder="1"/>
    <xf numFmtId="0" fontId="2" fillId="0" borderId="1" xfId="0" applyFont="1" applyBorder="1"/>
    <xf numFmtId="0" fontId="0" fillId="0" borderId="4" xfId="0" applyBorder="1" applyAlignment="1">
      <alignment horizontal="center"/>
    </xf>
    <xf numFmtId="164" fontId="0" fillId="0" borderId="1" xfId="0" applyNumberFormat="1" applyFill="1" applyBorder="1"/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/>
    </xf>
    <xf numFmtId="164" fontId="2" fillId="3" borderId="1" xfId="0" applyNumberFormat="1" applyFont="1" applyFill="1" applyBorder="1" applyAlignment="1">
      <alignment vertical="center"/>
    </xf>
    <xf numFmtId="164" fontId="6" fillId="3" borderId="1" xfId="0" applyNumberFormat="1" applyFont="1" applyFill="1" applyBorder="1" applyAlignment="1">
      <alignment wrapText="1"/>
    </xf>
    <xf numFmtId="2" fontId="2" fillId="3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wrapText="1"/>
    </xf>
    <xf numFmtId="165" fontId="2" fillId="3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horizontal="center" wrapText="1"/>
    </xf>
    <xf numFmtId="166" fontId="0" fillId="0" borderId="1" xfId="0" applyNumberFormat="1" applyBorder="1" applyAlignment="1" applyProtection="1">
      <alignment vertical="center"/>
    </xf>
    <xf numFmtId="165" fontId="0" fillId="0" borderId="1" xfId="0" applyNumberFormat="1" applyBorder="1" applyProtection="1"/>
    <xf numFmtId="166" fontId="0" fillId="0" borderId="1" xfId="0" applyNumberFormat="1" applyBorder="1" applyProtection="1"/>
    <xf numFmtId="0" fontId="4" fillId="4" borderId="1" xfId="2" applyBorder="1" applyAlignment="1" applyProtection="1">
      <alignment horizontal="center" vertical="center" wrapText="1"/>
    </xf>
    <xf numFmtId="0" fontId="5" fillId="5" borderId="1" xfId="3" applyBorder="1" applyAlignment="1" applyProtection="1">
      <alignment horizontal="center" vertical="center" wrapText="1"/>
    </xf>
    <xf numFmtId="164" fontId="0" fillId="0" borderId="1" xfId="0" applyNumberFormat="1" applyBorder="1" applyProtection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0" fillId="0" borderId="5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4" fillId="4" borderId="2" xfId="2" applyBorder="1" applyAlignment="1" applyProtection="1">
      <alignment horizontal="center" vertical="center" wrapText="1"/>
    </xf>
    <xf numFmtId="0" fontId="4" fillId="4" borderId="3" xfId="2" applyBorder="1" applyAlignment="1" applyProtection="1">
      <alignment horizontal="center" vertical="center" wrapText="1"/>
    </xf>
    <xf numFmtId="2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Protection="1"/>
    <xf numFmtId="2" fontId="0" fillId="0" borderId="2" xfId="0" applyNumberFormat="1" applyBorder="1" applyAlignment="1" applyProtection="1">
      <alignment horizontal="center" wrapText="1"/>
      <protection locked="0"/>
    </xf>
    <xf numFmtId="2" fontId="1" fillId="0" borderId="0" xfId="0" applyNumberFormat="1" applyFont="1" applyBorder="1" applyAlignment="1">
      <alignment horizontal="center" wrapText="1"/>
    </xf>
    <xf numFmtId="165" fontId="2" fillId="3" borderId="0" xfId="0" applyNumberFormat="1" applyFont="1" applyFill="1" applyBorder="1" applyAlignment="1">
      <alignment vertical="center"/>
    </xf>
    <xf numFmtId="164" fontId="7" fillId="0" borderId="1" xfId="0" applyNumberFormat="1" applyFont="1" applyBorder="1" applyProtection="1"/>
  </cellXfs>
  <cellStyles count="4">
    <cellStyle name="Dobre" xfId="2" builtinId="26"/>
    <cellStyle name="Normalny" xfId="0" builtinId="0"/>
    <cellStyle name="Procentowy" xfId="1" builtinId="5"/>
    <cellStyle name="Złe" xfId="3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3"/>
  <sheetViews>
    <sheetView tabSelected="1" topLeftCell="C20" workbookViewId="0">
      <selection activeCell="L28" sqref="L28"/>
    </sheetView>
  </sheetViews>
  <sheetFormatPr defaultRowHeight="14.5" x14ac:dyDescent="0.35"/>
  <cols>
    <col min="1" max="1" width="2" customWidth="1"/>
    <col min="2" max="2" width="15.6328125" customWidth="1"/>
    <col min="3" max="3" width="23.453125" bestFit="1" customWidth="1"/>
    <col min="4" max="4" width="5.6328125" customWidth="1"/>
    <col min="5" max="5" width="14.36328125" customWidth="1"/>
    <col min="6" max="6" width="16" customWidth="1"/>
    <col min="7" max="7" width="14.1796875" customWidth="1"/>
    <col min="8" max="8" width="14.7265625" customWidth="1"/>
    <col min="9" max="9" width="14.6328125" customWidth="1"/>
    <col min="10" max="13" width="15.453125" customWidth="1"/>
    <col min="14" max="14" width="16.453125" customWidth="1"/>
  </cols>
  <sheetData>
    <row r="1" spans="2:4" x14ac:dyDescent="0.35">
      <c r="B1" t="s">
        <v>0</v>
      </c>
    </row>
    <row r="2" spans="2:4" x14ac:dyDescent="0.35">
      <c r="B2" t="s">
        <v>45</v>
      </c>
    </row>
    <row r="3" spans="2:4" x14ac:dyDescent="0.35">
      <c r="B3" t="s">
        <v>46</v>
      </c>
    </row>
    <row r="5" spans="2:4" ht="18.5" x14ac:dyDescent="0.45">
      <c r="B5" s="7" t="s">
        <v>47</v>
      </c>
      <c r="C5" s="22">
        <v>640000</v>
      </c>
      <c r="D5" s="8" t="s">
        <v>17</v>
      </c>
    </row>
    <row r="6" spans="2:4" ht="27" customHeight="1" x14ac:dyDescent="0.35">
      <c r="B6" s="23" t="s">
        <v>48</v>
      </c>
      <c r="C6" s="24">
        <v>5.5</v>
      </c>
      <c r="D6" s="8" t="s">
        <v>17</v>
      </c>
    </row>
    <row r="7" spans="2:4" ht="18.5" x14ac:dyDescent="0.35">
      <c r="B7" s="4" t="s">
        <v>1</v>
      </c>
      <c r="C7" s="22">
        <v>2869000</v>
      </c>
      <c r="D7" s="8" t="s">
        <v>17</v>
      </c>
    </row>
    <row r="8" spans="2:4" ht="41.25" customHeight="1" x14ac:dyDescent="0.35">
      <c r="B8" s="25" t="s">
        <v>49</v>
      </c>
      <c r="C8" s="26">
        <v>100</v>
      </c>
      <c r="D8" s="8" t="s">
        <v>17</v>
      </c>
    </row>
    <row r="9" spans="2:4" ht="76.5" customHeight="1" x14ac:dyDescent="0.35">
      <c r="B9" s="27" t="s">
        <v>50</v>
      </c>
      <c r="C9" s="26">
        <v>19</v>
      </c>
      <c r="D9" s="8" t="s">
        <v>17</v>
      </c>
    </row>
    <row r="10" spans="2:4" ht="32.25" customHeight="1" x14ac:dyDescent="0.35">
      <c r="B10" s="25" t="s">
        <v>51</v>
      </c>
      <c r="C10" s="26">
        <v>95</v>
      </c>
      <c r="D10" s="8" t="s">
        <v>17</v>
      </c>
    </row>
    <row r="11" spans="2:4" x14ac:dyDescent="0.35">
      <c r="B11" s="4" t="s">
        <v>87</v>
      </c>
      <c r="C11" s="28">
        <f>IF(C13&lt;20,((L22-L24)*0.19)-(L24*0.9),((L22-L24)*0.19)-L24*0.7)</f>
        <v>-54571.999999999942</v>
      </c>
      <c r="D11" s="8" t="s">
        <v>52</v>
      </c>
    </row>
    <row r="12" spans="2:4" x14ac:dyDescent="0.35">
      <c r="B12" s="4" t="s">
        <v>88</v>
      </c>
      <c r="C12" s="28">
        <f>(((C10/100)*N27)-(C10/100)*N23)</f>
        <v>-98392.35500000004</v>
      </c>
      <c r="D12" s="8" t="s">
        <v>89</v>
      </c>
    </row>
    <row r="13" spans="2:4" ht="58" x14ac:dyDescent="0.35">
      <c r="B13" s="27" t="s">
        <v>78</v>
      </c>
      <c r="C13" s="26">
        <v>20</v>
      </c>
      <c r="D13" s="8"/>
    </row>
    <row r="14" spans="2:4" ht="43.5" x14ac:dyDescent="0.35">
      <c r="B14" s="73" t="s">
        <v>83</v>
      </c>
      <c r="C14" s="26">
        <v>500000</v>
      </c>
      <c r="D14" s="8" t="s">
        <v>84</v>
      </c>
    </row>
    <row r="15" spans="2:4" ht="29" x14ac:dyDescent="0.35">
      <c r="B15" s="73" t="s">
        <v>90</v>
      </c>
      <c r="C15" s="26">
        <v>500000</v>
      </c>
      <c r="D15" s="8"/>
    </row>
    <row r="16" spans="2:4" ht="18.5" x14ac:dyDescent="0.35">
      <c r="B16" s="73"/>
      <c r="C16" s="74"/>
      <c r="D16" s="8"/>
    </row>
    <row r="17" spans="2:14" x14ac:dyDescent="0.35">
      <c r="C17" s="1"/>
    </row>
    <row r="18" spans="2:14" x14ac:dyDescent="0.35">
      <c r="B18" s="51"/>
      <c r="C18" s="51"/>
      <c r="D18" s="51"/>
      <c r="E18" s="43" t="s">
        <v>6</v>
      </c>
      <c r="F18" s="43"/>
      <c r="G18" s="43" t="s">
        <v>7</v>
      </c>
      <c r="H18" s="43"/>
      <c r="I18" s="43"/>
      <c r="J18" s="43"/>
      <c r="K18" s="43"/>
      <c r="L18" s="43"/>
      <c r="M18" s="43"/>
      <c r="N18" s="43"/>
    </row>
    <row r="19" spans="2:14" ht="87" x14ac:dyDescent="0.35">
      <c r="B19" s="43" t="s">
        <v>8</v>
      </c>
      <c r="C19" s="43"/>
      <c r="D19" s="43"/>
      <c r="E19" s="19" t="s">
        <v>4</v>
      </c>
      <c r="F19" s="19" t="s">
        <v>5</v>
      </c>
      <c r="G19" s="19" t="s">
        <v>4</v>
      </c>
      <c r="H19" s="19" t="s">
        <v>5</v>
      </c>
      <c r="I19" s="19" t="s">
        <v>53</v>
      </c>
      <c r="J19" s="20" t="s">
        <v>54</v>
      </c>
      <c r="K19" s="20" t="s">
        <v>55</v>
      </c>
      <c r="L19" s="39" t="s">
        <v>80</v>
      </c>
      <c r="M19" s="39" t="s">
        <v>79</v>
      </c>
      <c r="N19" s="20" t="s">
        <v>81</v>
      </c>
    </row>
    <row r="20" spans="2:14" x14ac:dyDescent="0.35">
      <c r="B20" s="44" t="s">
        <v>56</v>
      </c>
      <c r="C20" s="52"/>
      <c r="D20" s="53"/>
      <c r="E20" s="19">
        <v>0</v>
      </c>
      <c r="F20" s="19">
        <v>0</v>
      </c>
      <c r="G20" s="19">
        <f>ROUND(IF(AND(C7&gt;=68412, C7&lt;=102588),(C7*6.68/100-4566)/0.17,IF(AND(C7&gt;=102588,C7&lt;=133692),(-C7*7.35/100+9829)/0.17,0)),2)</f>
        <v>0</v>
      </c>
      <c r="H20" s="19">
        <v>0</v>
      </c>
      <c r="I20" s="19">
        <v>0</v>
      </c>
      <c r="J20" s="19">
        <v>0</v>
      </c>
      <c r="K20" s="19">
        <v>0</v>
      </c>
      <c r="L20" s="37">
        <v>0</v>
      </c>
      <c r="M20" s="37">
        <v>0</v>
      </c>
      <c r="N20" s="19">
        <v>0</v>
      </c>
    </row>
    <row r="21" spans="2:14" x14ac:dyDescent="0.35">
      <c r="B21" s="44" t="s">
        <v>57</v>
      </c>
      <c r="C21" s="52"/>
      <c r="D21" s="53"/>
      <c r="E21" s="70">
        <v>11860.44</v>
      </c>
      <c r="F21" s="70">
        <v>11860.44</v>
      </c>
      <c r="G21" s="70">
        <v>13490.76</v>
      </c>
      <c r="H21" s="70">
        <v>13490.76</v>
      </c>
      <c r="I21" s="70">
        <v>13490.76</v>
      </c>
      <c r="J21" s="70">
        <v>13490.76</v>
      </c>
      <c r="K21" s="19">
        <v>0</v>
      </c>
      <c r="L21" s="37">
        <v>13490.76</v>
      </c>
      <c r="M21" s="37">
        <v>0</v>
      </c>
      <c r="N21" s="19">
        <v>13490.76</v>
      </c>
    </row>
    <row r="22" spans="2:14" x14ac:dyDescent="0.35">
      <c r="B22" s="54" t="s">
        <v>91</v>
      </c>
      <c r="C22" s="55"/>
      <c r="D22" s="56"/>
      <c r="E22" s="71">
        <f>MAX(ROUND(C7-E21,0),0)</f>
        <v>2857140</v>
      </c>
      <c r="F22" s="71">
        <f>MAX(ROUND(C7-F21,0),0)</f>
        <v>2857140</v>
      </c>
      <c r="G22" s="71">
        <f>MAX(ROUND(C7-G20-G21,0),0)</f>
        <v>2855509</v>
      </c>
      <c r="H22" s="71">
        <f>MAX(ROUND(C7-H21,0),0)</f>
        <v>2855509</v>
      </c>
      <c r="I22" s="71">
        <f>MAX(ROUND(C5-I21,0),0)</f>
        <v>626509</v>
      </c>
      <c r="J22" s="71">
        <f>C7</f>
        <v>2869000</v>
      </c>
      <c r="K22" s="2">
        <f>C7</f>
        <v>2869000</v>
      </c>
      <c r="L22" s="33">
        <f>C7</f>
        <v>2869000</v>
      </c>
      <c r="M22" s="33">
        <f>C7</f>
        <v>2869000</v>
      </c>
      <c r="N22" s="2">
        <f>C7</f>
        <v>2869000</v>
      </c>
    </row>
    <row r="23" spans="2:14" x14ac:dyDescent="0.35">
      <c r="B23" s="43" t="s">
        <v>58</v>
      </c>
      <c r="C23" s="43"/>
      <c r="D23" s="43"/>
      <c r="E23" s="71">
        <f>MAX(IF(E22&lt;=85528,(E22*0.17)-525.12,((E22-85528)*0.32)+14539.76),0)</f>
        <v>901455.6</v>
      </c>
      <c r="F23" s="71">
        <f>ROUND(F22*0.19,0)</f>
        <v>542857</v>
      </c>
      <c r="G23" s="71">
        <f>MAX(IF(G22&lt;=120000,G22*0.17-5100,(G22-120000)*0.32+15300),0)</f>
        <v>890662.88</v>
      </c>
      <c r="H23" s="71">
        <f>H22*0.19</f>
        <v>542546.71</v>
      </c>
      <c r="I23" s="71">
        <f>I22*(C6/100)</f>
        <v>34457.995000000003</v>
      </c>
      <c r="J23" s="71">
        <f>J22*C9/100</f>
        <v>545110</v>
      </c>
      <c r="K23" s="2">
        <f>K22*C9/100</f>
        <v>545110</v>
      </c>
      <c r="L23" s="29">
        <v>0</v>
      </c>
      <c r="M23" s="29">
        <v>0</v>
      </c>
      <c r="N23" s="2">
        <f>N22*C9/100</f>
        <v>545110</v>
      </c>
    </row>
    <row r="24" spans="2:14" x14ac:dyDescent="0.35">
      <c r="B24" s="72" t="s">
        <v>82</v>
      </c>
      <c r="C24" s="49"/>
      <c r="D24" s="50"/>
      <c r="E24" s="71">
        <v>0</v>
      </c>
      <c r="F24" s="71">
        <v>0</v>
      </c>
      <c r="G24" s="71">
        <v>0</v>
      </c>
      <c r="H24" s="71">
        <v>0</v>
      </c>
      <c r="I24" s="71">
        <v>0</v>
      </c>
      <c r="J24" s="71">
        <v>0</v>
      </c>
      <c r="K24" s="29">
        <v>0</v>
      </c>
      <c r="L24" s="29">
        <f>((L30+C14+L26)*C13/100)</f>
        <v>673800</v>
      </c>
      <c r="M24" s="29">
        <f>((M30+C14+M26)*C13/100)</f>
        <v>673800</v>
      </c>
      <c r="N24" s="29">
        <v>0</v>
      </c>
    </row>
    <row r="25" spans="2:14" x14ac:dyDescent="0.35">
      <c r="B25" s="43" t="s">
        <v>3</v>
      </c>
      <c r="C25" s="43"/>
      <c r="D25" s="43"/>
      <c r="E25" s="71">
        <v>4581.72</v>
      </c>
      <c r="F25" s="71">
        <v>4581.72</v>
      </c>
      <c r="G25" s="71">
        <f>MAX((C7-G21)*0.09,3250.8,0)</f>
        <v>256995.8316</v>
      </c>
      <c r="H25" s="71">
        <f>MAX((C7-H21)*0.049,3250.8,0)</f>
        <v>139919.95276000001</v>
      </c>
      <c r="I25" s="71">
        <f>IF(I22&lt;60000,3743,IF(I22&lt;300000,6237,11227))</f>
        <v>11227</v>
      </c>
      <c r="J25" s="71">
        <v>6237</v>
      </c>
      <c r="K25" s="29">
        <v>0</v>
      </c>
      <c r="L25" s="29">
        <v>6237</v>
      </c>
      <c r="M25" s="29">
        <v>0</v>
      </c>
      <c r="N25" s="29">
        <v>6237</v>
      </c>
    </row>
    <row r="26" spans="2:14" x14ac:dyDescent="0.35">
      <c r="B26" s="44" t="s">
        <v>59</v>
      </c>
      <c r="C26" s="45"/>
      <c r="D26" s="46"/>
      <c r="E26" s="71">
        <v>0</v>
      </c>
      <c r="F26" s="71">
        <v>0</v>
      </c>
      <c r="G26" s="71">
        <v>0</v>
      </c>
      <c r="H26" s="71">
        <v>0</v>
      </c>
      <c r="I26" s="71">
        <v>0</v>
      </c>
      <c r="J26" s="71">
        <f>(J22-J23)*(C8/100)</f>
        <v>2323890</v>
      </c>
      <c r="K26" s="29">
        <f>(K22-K23)*(C8/100)</f>
        <v>2323890</v>
      </c>
      <c r="L26" s="29">
        <f>C15</f>
        <v>500000</v>
      </c>
      <c r="M26" s="29">
        <f>C15</f>
        <v>500000</v>
      </c>
      <c r="N26" s="29">
        <f>(N22-N23)*(C8/100)</f>
        <v>2323890</v>
      </c>
    </row>
    <row r="27" spans="2:14" ht="32.25" customHeight="1" x14ac:dyDescent="0.35">
      <c r="B27" s="44" t="s">
        <v>60</v>
      </c>
      <c r="C27" s="45"/>
      <c r="D27" s="46"/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f>J26*0.19</f>
        <v>441539.1</v>
      </c>
      <c r="K27" s="29">
        <f>K26*0.19</f>
        <v>441539.1</v>
      </c>
      <c r="L27" s="29">
        <f>L30*0.19</f>
        <v>450110</v>
      </c>
      <c r="M27" s="29">
        <f>M30*0.19</f>
        <v>450110</v>
      </c>
      <c r="N27" s="29">
        <f>N26*0.19</f>
        <v>441539.1</v>
      </c>
    </row>
    <row r="28" spans="2:14" x14ac:dyDescent="0.35">
      <c r="B28" s="48" t="s">
        <v>86</v>
      </c>
      <c r="C28" s="49"/>
      <c r="D28" s="50"/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30">
        <f>IF(C11&lt;0,0,C11)</f>
        <v>0</v>
      </c>
      <c r="M28" s="30">
        <f>IF(C11&lt;0,0,C11)</f>
        <v>0</v>
      </c>
      <c r="N28" s="30">
        <f>IF(C12&lt;0,0,C12)</f>
        <v>0</v>
      </c>
    </row>
    <row r="29" spans="2:14" x14ac:dyDescent="0.35">
      <c r="B29" s="48" t="s">
        <v>61</v>
      </c>
      <c r="C29" s="49"/>
      <c r="D29" s="50"/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30">
        <f>((100-C10)/100)*N27</f>
        <v>22076.955000000002</v>
      </c>
    </row>
    <row r="30" spans="2:14" x14ac:dyDescent="0.35">
      <c r="B30" s="48" t="s">
        <v>85</v>
      </c>
      <c r="C30" s="49"/>
      <c r="D30" s="50"/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f>C7-L26</f>
        <v>2369000</v>
      </c>
      <c r="M30" s="29">
        <f>C7-M26</f>
        <v>2369000</v>
      </c>
      <c r="N30" s="30">
        <v>0</v>
      </c>
    </row>
    <row r="31" spans="2:14" ht="78" customHeight="1" x14ac:dyDescent="0.45">
      <c r="B31" s="47" t="s">
        <v>63</v>
      </c>
      <c r="C31" s="43"/>
      <c r="D31" s="43"/>
      <c r="E31" s="75">
        <f>E21+E23+E25+E27</f>
        <v>917897.75999999989</v>
      </c>
      <c r="F31" s="75">
        <f t="shared" ref="F31:L31" si="0">F21+F23+F25+F27</f>
        <v>559299.15999999992</v>
      </c>
      <c r="G31" s="75">
        <f t="shared" si="0"/>
        <v>1161149.4716</v>
      </c>
      <c r="H31" s="75">
        <f t="shared" si="0"/>
        <v>695957.42275999999</v>
      </c>
      <c r="I31" s="75">
        <f t="shared" si="0"/>
        <v>59175.755000000005</v>
      </c>
      <c r="J31" s="75">
        <f t="shared" si="0"/>
        <v>1006376.86</v>
      </c>
      <c r="K31" s="75">
        <f t="shared" si="0"/>
        <v>986649.1</v>
      </c>
      <c r="L31" s="75">
        <f>L21+L24+L25+L28</f>
        <v>693527.76</v>
      </c>
      <c r="M31" s="75">
        <f>M21+M24+M25+M28</f>
        <v>673800</v>
      </c>
      <c r="N31" s="75">
        <f>N21+N23+N25+N28+N29</f>
        <v>586914.71499999997</v>
      </c>
    </row>
    <row r="32" spans="2:14" x14ac:dyDescent="0.35">
      <c r="B32" s="3"/>
      <c r="C32" s="3"/>
      <c r="D32" s="3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2:14" x14ac:dyDescent="0.35">
      <c r="B33" s="43" t="s">
        <v>9</v>
      </c>
      <c r="C33" s="43"/>
      <c r="D33" s="43"/>
      <c r="E33" s="40" t="s">
        <v>6</v>
      </c>
      <c r="F33" s="41"/>
      <c r="G33" s="40" t="s">
        <v>7</v>
      </c>
      <c r="H33" s="42"/>
      <c r="I33" s="42"/>
      <c r="J33" s="42"/>
      <c r="K33" s="42"/>
      <c r="L33" s="42"/>
      <c r="M33" s="42"/>
      <c r="N33" s="41"/>
    </row>
    <row r="34" spans="2:14" x14ac:dyDescent="0.35">
      <c r="B34" s="43" t="s">
        <v>10</v>
      </c>
      <c r="C34" s="43"/>
      <c r="D34" s="43"/>
      <c r="E34" s="2">
        <f>IF($C$8&lt;=1000000,0,$C$8-1000000)</f>
        <v>0</v>
      </c>
      <c r="F34" s="2">
        <f>IF(C7&lt;=1000000,0,C7-1000000)</f>
        <v>1869000</v>
      </c>
      <c r="G34" s="2">
        <f t="shared" ref="G34:N35" si="1">IF($C$8&lt;=1000000,0,$C$8-1000000)</f>
        <v>0</v>
      </c>
      <c r="H34" s="33">
        <f>IF(C7&lt;=1000000,0,C7-1000000)</f>
        <v>1869000</v>
      </c>
      <c r="I34" s="2">
        <f t="shared" si="1"/>
        <v>0</v>
      </c>
      <c r="J34" s="2">
        <f t="shared" si="1"/>
        <v>0</v>
      </c>
      <c r="K34" s="2"/>
      <c r="L34" s="33"/>
      <c r="M34" s="33"/>
      <c r="N34" s="2">
        <f t="shared" si="1"/>
        <v>0</v>
      </c>
    </row>
    <row r="35" spans="2:14" x14ac:dyDescent="0.35">
      <c r="B35" s="43" t="s">
        <v>11</v>
      </c>
      <c r="C35" s="43"/>
      <c r="D35" s="43"/>
      <c r="E35" s="2">
        <f>ROUND(E34*0.04,0)</f>
        <v>0</v>
      </c>
      <c r="F35" s="2">
        <f t="shared" ref="F35:H35" si="2">ROUND(F34*0.04,0)</f>
        <v>74760</v>
      </c>
      <c r="G35" s="2">
        <f t="shared" si="2"/>
        <v>0</v>
      </c>
      <c r="H35" s="2">
        <f t="shared" si="2"/>
        <v>74760</v>
      </c>
      <c r="I35" s="2">
        <f t="shared" si="1"/>
        <v>0</v>
      </c>
      <c r="J35" s="2">
        <f t="shared" si="1"/>
        <v>0</v>
      </c>
      <c r="K35" s="2"/>
      <c r="L35" s="33"/>
      <c r="M35" s="33"/>
      <c r="N35" s="2">
        <f t="shared" si="1"/>
        <v>0</v>
      </c>
    </row>
    <row r="36" spans="2:14" x14ac:dyDescent="0.35">
      <c r="B36" s="3"/>
      <c r="C36" s="3"/>
      <c r="D36" s="3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pans="2:14" x14ac:dyDescent="0.35">
      <c r="B37" s="51"/>
      <c r="C37" s="51"/>
      <c r="D37" s="51"/>
      <c r="E37" s="57" t="s">
        <v>6</v>
      </c>
      <c r="F37" s="57"/>
      <c r="G37" s="57" t="s">
        <v>7</v>
      </c>
      <c r="H37" s="57"/>
      <c r="I37" s="57"/>
      <c r="J37" s="57"/>
      <c r="K37" s="57"/>
      <c r="L37" s="57"/>
      <c r="M37" s="57"/>
      <c r="N37" s="57"/>
    </row>
    <row r="38" spans="2:14" x14ac:dyDescent="0.35">
      <c r="B38" s="43" t="s">
        <v>8</v>
      </c>
      <c r="C38" s="43"/>
      <c r="D38" s="43"/>
      <c r="E38" s="21" t="s">
        <v>4</v>
      </c>
      <c r="F38" s="21" t="s">
        <v>5</v>
      </c>
      <c r="G38" s="21" t="s">
        <v>4</v>
      </c>
      <c r="H38" s="21" t="s">
        <v>5</v>
      </c>
      <c r="I38" s="21" t="s">
        <v>64</v>
      </c>
      <c r="J38" s="21" t="s">
        <v>65</v>
      </c>
      <c r="K38" s="21" t="s">
        <v>66</v>
      </c>
      <c r="L38" s="38"/>
      <c r="M38" s="38"/>
      <c r="N38" s="21" t="s">
        <v>67</v>
      </c>
    </row>
    <row r="39" spans="2:14" x14ac:dyDescent="0.35">
      <c r="B39" s="58" t="s">
        <v>77</v>
      </c>
      <c r="C39" s="58"/>
      <c r="D39" s="58"/>
      <c r="E39" s="6">
        <f>E35+E31</f>
        <v>917897.75999999989</v>
      </c>
      <c r="F39" s="6">
        <f>F35+F31</f>
        <v>634059.15999999992</v>
      </c>
      <c r="G39" s="6">
        <f>G35+G31</f>
        <v>1161149.4716</v>
      </c>
      <c r="H39" s="6">
        <f>H35+H31</f>
        <v>770717.42275999999</v>
      </c>
      <c r="I39" s="6">
        <f t="shared" ref="I39:K39" si="3">I35+I31</f>
        <v>59175.755000000005</v>
      </c>
      <c r="J39" s="6">
        <f t="shared" si="3"/>
        <v>1006376.86</v>
      </c>
      <c r="K39" s="6">
        <f t="shared" si="3"/>
        <v>986649.1</v>
      </c>
      <c r="L39" s="6"/>
      <c r="M39" s="6"/>
      <c r="N39" s="6">
        <f>N35+N31</f>
        <v>586914.71499999997</v>
      </c>
    </row>
    <row r="40" spans="2:14" x14ac:dyDescent="0.35">
      <c r="B40" s="3"/>
      <c r="C40" s="3"/>
      <c r="D40" s="3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2:14" x14ac:dyDescent="0.35">
      <c r="B41" s="3"/>
      <c r="C41" s="3"/>
      <c r="D41" s="3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2:14" x14ac:dyDescent="0.35">
      <c r="B42" s="3"/>
      <c r="C42" s="3"/>
      <c r="D42" s="3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2:14" x14ac:dyDescent="0.35">
      <c r="B43" s="60" t="s">
        <v>68</v>
      </c>
      <c r="C43" s="61"/>
      <c r="D43" s="62"/>
      <c r="E43" s="66" t="s">
        <v>15</v>
      </c>
      <c r="F43" s="67"/>
      <c r="G43" s="5"/>
      <c r="H43" s="5"/>
      <c r="I43" s="5"/>
      <c r="J43" s="5"/>
      <c r="K43" s="5"/>
      <c r="L43" s="5"/>
      <c r="M43" s="5"/>
      <c r="N43" s="5"/>
    </row>
    <row r="44" spans="2:14" x14ac:dyDescent="0.35">
      <c r="B44" s="63"/>
      <c r="C44" s="64"/>
      <c r="D44" s="65"/>
      <c r="E44" s="31" t="s">
        <v>69</v>
      </c>
      <c r="F44" s="32" t="s">
        <v>70</v>
      </c>
      <c r="G44" s="5"/>
      <c r="H44" s="5"/>
      <c r="I44" s="5"/>
      <c r="J44" s="5"/>
      <c r="K44" s="5"/>
      <c r="L44" s="5"/>
      <c r="M44" s="5"/>
      <c r="N44" s="5"/>
    </row>
    <row r="45" spans="2:14" x14ac:dyDescent="0.35">
      <c r="B45" s="43" t="s">
        <v>12</v>
      </c>
      <c r="C45" s="43"/>
      <c r="D45" s="43"/>
      <c r="E45" s="2">
        <f>MAX(-H39+F39,0)</f>
        <v>0</v>
      </c>
      <c r="F45" s="2">
        <f>MAX(H39-F39,0)</f>
        <v>136658.26276000007</v>
      </c>
      <c r="G45" s="5"/>
      <c r="H45" s="5"/>
      <c r="I45" s="5"/>
      <c r="J45" s="5"/>
      <c r="K45" s="5"/>
      <c r="L45" s="5"/>
      <c r="M45" s="5"/>
      <c r="N45" s="5"/>
    </row>
    <row r="46" spans="2:14" x14ac:dyDescent="0.35">
      <c r="B46" s="43" t="s">
        <v>13</v>
      </c>
      <c r="C46" s="43"/>
      <c r="D46" s="43"/>
      <c r="E46" s="2">
        <f>MAX(-G39+F39,0)</f>
        <v>0</v>
      </c>
      <c r="F46" s="2">
        <f>MAX(G39-F39,0)</f>
        <v>527090.31160000013</v>
      </c>
      <c r="G46" s="5"/>
      <c r="H46" s="5"/>
      <c r="I46" s="5"/>
      <c r="J46" s="5"/>
      <c r="K46" s="5"/>
      <c r="L46" s="5"/>
      <c r="M46" s="5"/>
      <c r="N46" s="5"/>
    </row>
    <row r="47" spans="2:14" x14ac:dyDescent="0.35">
      <c r="B47" s="43" t="s">
        <v>16</v>
      </c>
      <c r="C47" s="43"/>
      <c r="D47" s="43"/>
      <c r="E47" s="2">
        <f>MAX(-H39+E39,0)</f>
        <v>147180.33723999991</v>
      </c>
      <c r="F47" s="2">
        <f>MAX(H39-E39,0)</f>
        <v>0</v>
      </c>
      <c r="G47" s="5"/>
      <c r="H47" s="5"/>
      <c r="I47" s="5"/>
      <c r="J47" s="5"/>
      <c r="K47" s="5"/>
      <c r="L47" s="5"/>
      <c r="M47" s="5"/>
      <c r="N47" s="5"/>
    </row>
    <row r="48" spans="2:14" x14ac:dyDescent="0.35">
      <c r="B48" s="43" t="s">
        <v>14</v>
      </c>
      <c r="C48" s="43"/>
      <c r="D48" s="43"/>
      <c r="E48" s="2">
        <f>MAX(-G39+E39,0)</f>
        <v>0</v>
      </c>
      <c r="F48" s="2">
        <f>MAX(G39-E39,0)</f>
        <v>243251.71160000016</v>
      </c>
      <c r="G48" s="5"/>
      <c r="H48" s="5"/>
      <c r="I48" s="5"/>
      <c r="J48" s="5"/>
      <c r="K48" s="5"/>
      <c r="L48" s="5"/>
      <c r="M48" s="5"/>
      <c r="N48" s="5"/>
    </row>
    <row r="49" spans="2:14" x14ac:dyDescent="0.35">
      <c r="B49" s="43" t="s">
        <v>71</v>
      </c>
      <c r="C49" s="43"/>
      <c r="D49" s="43"/>
      <c r="E49" s="2">
        <f>MAX(-I39+F39,0)</f>
        <v>574883.40499999991</v>
      </c>
      <c r="F49" s="2">
        <f>MAX(I39-F39,0)</f>
        <v>0</v>
      </c>
      <c r="G49" s="5"/>
      <c r="H49" s="5"/>
      <c r="I49" s="5"/>
      <c r="J49" s="5"/>
      <c r="K49" s="5"/>
      <c r="L49" s="5"/>
      <c r="M49" s="5"/>
      <c r="N49" s="5"/>
    </row>
    <row r="50" spans="2:14" x14ac:dyDescent="0.35">
      <c r="B50" s="43" t="s">
        <v>72</v>
      </c>
      <c r="C50" s="43"/>
      <c r="D50" s="43"/>
      <c r="E50" s="2">
        <f>MAX(-I39+F39,0)</f>
        <v>574883.40499999991</v>
      </c>
      <c r="F50" s="2">
        <f>MAX(I39-F39,0)</f>
        <v>0</v>
      </c>
      <c r="G50" s="5"/>
      <c r="H50" s="5"/>
      <c r="I50" s="5"/>
      <c r="J50" s="5"/>
      <c r="K50" s="5"/>
      <c r="L50" s="5"/>
      <c r="M50" s="5"/>
      <c r="N50" s="5"/>
    </row>
    <row r="51" spans="2:14" x14ac:dyDescent="0.35">
      <c r="B51" s="43" t="s">
        <v>73</v>
      </c>
      <c r="C51" s="43"/>
      <c r="D51" s="43"/>
      <c r="E51" s="33">
        <v>0</v>
      </c>
      <c r="F51" s="33">
        <v>244.60224000000017</v>
      </c>
      <c r="G51" s="5"/>
      <c r="H51" s="5"/>
      <c r="I51" s="5"/>
      <c r="J51" s="5"/>
      <c r="K51" s="5"/>
      <c r="L51" s="5"/>
      <c r="M51" s="5"/>
      <c r="N51" s="5"/>
    </row>
    <row r="52" spans="2:14" x14ac:dyDescent="0.35">
      <c r="B52" s="43" t="s">
        <v>74</v>
      </c>
      <c r="C52" s="43"/>
      <c r="D52" s="43"/>
      <c r="E52" s="33">
        <v>0</v>
      </c>
      <c r="F52" s="34">
        <v>4221.9433999999983</v>
      </c>
      <c r="G52" s="5"/>
      <c r="H52" s="5"/>
      <c r="I52" s="5"/>
      <c r="J52" s="5"/>
      <c r="K52" s="5"/>
      <c r="L52" s="5"/>
      <c r="M52" s="5"/>
      <c r="N52" s="5"/>
    </row>
    <row r="53" spans="2:14" x14ac:dyDescent="0.35">
      <c r="B53" s="59" t="s">
        <v>75</v>
      </c>
      <c r="C53" s="59"/>
      <c r="D53" s="59"/>
      <c r="E53" s="34">
        <v>0</v>
      </c>
      <c r="F53" s="34">
        <v>3977.3411599999981</v>
      </c>
    </row>
  </sheetData>
  <mergeCells count="37">
    <mergeCell ref="B24:D24"/>
    <mergeCell ref="B53:D53"/>
    <mergeCell ref="B43:D44"/>
    <mergeCell ref="E43:F43"/>
    <mergeCell ref="B45:D45"/>
    <mergeCell ref="B46:D46"/>
    <mergeCell ref="B47:D47"/>
    <mergeCell ref="B48:D48"/>
    <mergeCell ref="B49:D49"/>
    <mergeCell ref="B50:D50"/>
    <mergeCell ref="B51:D51"/>
    <mergeCell ref="B52:D52"/>
    <mergeCell ref="B37:D37"/>
    <mergeCell ref="E37:F37"/>
    <mergeCell ref="G37:N37"/>
    <mergeCell ref="B38:D38"/>
    <mergeCell ref="B39:D39"/>
    <mergeCell ref="B18:D18"/>
    <mergeCell ref="E18:F18"/>
    <mergeCell ref="G18:N18"/>
    <mergeCell ref="B19:D19"/>
    <mergeCell ref="B23:D23"/>
    <mergeCell ref="B20:D20"/>
    <mergeCell ref="B21:D21"/>
    <mergeCell ref="B22:D22"/>
    <mergeCell ref="E33:F33"/>
    <mergeCell ref="G33:N33"/>
    <mergeCell ref="B35:D35"/>
    <mergeCell ref="B34:D34"/>
    <mergeCell ref="B25:D25"/>
    <mergeCell ref="B33:D33"/>
    <mergeCell ref="B26:D26"/>
    <mergeCell ref="B27:D27"/>
    <mergeCell ref="B31:D31"/>
    <mergeCell ref="B28:D28"/>
    <mergeCell ref="B29:D29"/>
    <mergeCell ref="B30:D30"/>
  </mergeCells>
  <dataValidations count="3">
    <dataValidation type="list" allowBlank="1" showInputMessage="1" showErrorMessage="1" sqref="C9 C16">
      <formula1>"9,19"</formula1>
    </dataValidation>
    <dataValidation type="list" allowBlank="1" showInputMessage="1" showErrorMessage="1" sqref="C6">
      <mc:AlternateContent xmlns:x12ac="http://schemas.microsoft.com/office/spreadsheetml/2011/1/ac" xmlns:mc="http://schemas.openxmlformats.org/markup-compatibility/2006">
        <mc:Choice Requires="x12ac">
          <x12ac:list>2,3,"5,5","8,5",12,"12,5",14,15,17</x12ac:list>
        </mc:Choice>
        <mc:Fallback>
          <formula1>"2,3,5,5,8,5,12,12,5,14,15,17"</formula1>
        </mc:Fallback>
      </mc:AlternateContent>
    </dataValidation>
    <dataValidation type="list" allowBlank="1" showInputMessage="1" showErrorMessage="1" sqref="C13">
      <formula1>"10,20"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3"/>
  <sheetViews>
    <sheetView topLeftCell="A3" workbookViewId="0">
      <selection activeCell="C4" sqref="C4:D4"/>
    </sheetView>
  </sheetViews>
  <sheetFormatPr defaultRowHeight="14.5" x14ac:dyDescent="0.35"/>
  <cols>
    <col min="2" max="2" width="40.54296875" customWidth="1"/>
    <col min="3" max="3" width="12.81640625" customWidth="1"/>
    <col min="4" max="4" width="13.453125" customWidth="1"/>
    <col min="5" max="5" width="14" customWidth="1"/>
    <col min="6" max="6" width="14.54296875" customWidth="1"/>
  </cols>
  <sheetData>
    <row r="1" spans="2:6" x14ac:dyDescent="0.35">
      <c r="B1" t="s">
        <v>42</v>
      </c>
    </row>
    <row r="4" spans="2:6" ht="18.5" x14ac:dyDescent="0.45">
      <c r="B4" s="16" t="s">
        <v>41</v>
      </c>
      <c r="C4" s="68">
        <v>15000</v>
      </c>
      <c r="D4" s="68"/>
    </row>
    <row r="6" spans="2:6" x14ac:dyDescent="0.35">
      <c r="C6" s="69" t="s">
        <v>43</v>
      </c>
      <c r="D6" s="69"/>
      <c r="E6" s="69" t="s">
        <v>44</v>
      </c>
      <c r="F6" s="69"/>
    </row>
    <row r="7" spans="2:6" ht="15" x14ac:dyDescent="0.25">
      <c r="B7" s="10"/>
      <c r="C7" s="17" t="s">
        <v>6</v>
      </c>
      <c r="D7" s="17" t="s">
        <v>7</v>
      </c>
      <c r="E7" s="11" t="s">
        <v>6</v>
      </c>
      <c r="F7" s="11" t="s">
        <v>7</v>
      </c>
    </row>
    <row r="8" spans="2:6" x14ac:dyDescent="0.35">
      <c r="B8" s="10" t="s">
        <v>18</v>
      </c>
      <c r="C8" s="12">
        <f>C4</f>
        <v>15000</v>
      </c>
      <c r="D8" s="12">
        <f>C4</f>
        <v>15000</v>
      </c>
      <c r="E8" s="12">
        <f>12*C8</f>
        <v>180000</v>
      </c>
      <c r="F8" s="12">
        <f>12*D8</f>
        <v>180000</v>
      </c>
    </row>
    <row r="9" spans="2:6" ht="15" x14ac:dyDescent="0.25">
      <c r="C9" s="1"/>
      <c r="D9" s="1"/>
    </row>
    <row r="10" spans="2:6" ht="15" x14ac:dyDescent="0.25">
      <c r="B10" t="s">
        <v>22</v>
      </c>
      <c r="C10" s="1"/>
      <c r="D10" s="1"/>
    </row>
    <row r="11" spans="2:6" ht="15" x14ac:dyDescent="0.25">
      <c r="B11" s="10" t="s">
        <v>19</v>
      </c>
      <c r="C11" s="12">
        <f>C8*0.0976</f>
        <v>1464</v>
      </c>
      <c r="D11" s="12">
        <f>D8*0.0976</f>
        <v>1464</v>
      </c>
      <c r="E11" s="12">
        <f t="shared" ref="E11:F13" si="0">12*C11</f>
        <v>17568</v>
      </c>
      <c r="F11" s="12">
        <f t="shared" si="0"/>
        <v>17568</v>
      </c>
    </row>
    <row r="12" spans="2:6" ht="15" x14ac:dyDescent="0.25">
      <c r="B12" s="10" t="s">
        <v>20</v>
      </c>
      <c r="C12" s="12">
        <f>C8*0.015</f>
        <v>225</v>
      </c>
      <c r="D12" s="12">
        <f>D8*0.015</f>
        <v>225</v>
      </c>
      <c r="E12" s="12">
        <f t="shared" si="0"/>
        <v>2700</v>
      </c>
      <c r="F12" s="12">
        <f t="shared" si="0"/>
        <v>2700</v>
      </c>
    </row>
    <row r="13" spans="2:6" ht="15" x14ac:dyDescent="0.25">
      <c r="B13" s="10" t="s">
        <v>21</v>
      </c>
      <c r="C13" s="12">
        <f>C8*0.0245</f>
        <v>367.5</v>
      </c>
      <c r="D13" s="12">
        <f>D8*0.0245</f>
        <v>367.5</v>
      </c>
      <c r="E13" s="12">
        <f t="shared" si="0"/>
        <v>4410</v>
      </c>
      <c r="F13" s="12">
        <f t="shared" si="0"/>
        <v>4410</v>
      </c>
    </row>
    <row r="14" spans="2:6" ht="15" x14ac:dyDescent="0.25">
      <c r="B14" s="9" t="s">
        <v>28</v>
      </c>
      <c r="C14" s="1">
        <f>SUM(C11:C13)</f>
        <v>2056.5</v>
      </c>
      <c r="D14" s="1">
        <f>SUM(D11:D13)</f>
        <v>2056.5</v>
      </c>
      <c r="E14" s="1">
        <f>SUM(E11:E13)</f>
        <v>24678</v>
      </c>
      <c r="F14" s="1">
        <f>SUM(F11:F13)</f>
        <v>24678</v>
      </c>
    </row>
    <row r="15" spans="2:6" ht="15" x14ac:dyDescent="0.25">
      <c r="C15" s="1"/>
      <c r="D15" s="1"/>
    </row>
    <row r="16" spans="2:6" x14ac:dyDescent="0.35">
      <c r="B16" t="s">
        <v>23</v>
      </c>
      <c r="C16" s="1"/>
      <c r="D16" s="1"/>
    </row>
    <row r="17" spans="2:6" ht="15" x14ac:dyDescent="0.25">
      <c r="B17" s="10" t="s">
        <v>24</v>
      </c>
      <c r="C17" s="12">
        <f>C8*0.0976</f>
        <v>1464</v>
      </c>
      <c r="D17" s="12">
        <f>D8*0.0976</f>
        <v>1464</v>
      </c>
      <c r="E17" s="12">
        <f>C17*12</f>
        <v>17568</v>
      </c>
      <c r="F17" s="12">
        <f>D17*12</f>
        <v>17568</v>
      </c>
    </row>
    <row r="18" spans="2:6" ht="15" x14ac:dyDescent="0.25">
      <c r="B18" s="10" t="s">
        <v>20</v>
      </c>
      <c r="C18" s="12">
        <f>C8*0.065</f>
        <v>975</v>
      </c>
      <c r="D18" s="12">
        <f>D8*0.065</f>
        <v>975</v>
      </c>
      <c r="E18" s="12">
        <f t="shared" ref="E18:F21" si="1">C18*12</f>
        <v>11700</v>
      </c>
      <c r="F18" s="12">
        <f t="shared" si="1"/>
        <v>11700</v>
      </c>
    </row>
    <row r="19" spans="2:6" ht="15" x14ac:dyDescent="0.25">
      <c r="B19" s="10" t="s">
        <v>25</v>
      </c>
      <c r="C19" s="12">
        <f>C8*0.0096</f>
        <v>144</v>
      </c>
      <c r="D19" s="12">
        <f>D8*0.0096</f>
        <v>144</v>
      </c>
      <c r="E19" s="12">
        <f t="shared" si="1"/>
        <v>1728</v>
      </c>
      <c r="F19" s="12">
        <f t="shared" si="1"/>
        <v>1728</v>
      </c>
    </row>
    <row r="20" spans="2:6" ht="15" x14ac:dyDescent="0.25">
      <c r="B20" s="10" t="s">
        <v>26</v>
      </c>
      <c r="C20" s="12">
        <f>C8*0.0245</f>
        <v>367.5</v>
      </c>
      <c r="D20" s="12">
        <f>D8*0.0245</f>
        <v>367.5</v>
      </c>
      <c r="E20" s="12">
        <f t="shared" si="1"/>
        <v>4410</v>
      </c>
      <c r="F20" s="12">
        <f t="shared" si="1"/>
        <v>4410</v>
      </c>
    </row>
    <row r="21" spans="2:6" x14ac:dyDescent="0.35">
      <c r="B21" s="10" t="s">
        <v>27</v>
      </c>
      <c r="C21" s="12">
        <f>C8*0.001</f>
        <v>15</v>
      </c>
      <c r="D21" s="12">
        <f>D8*0.001</f>
        <v>15</v>
      </c>
      <c r="E21" s="12">
        <f t="shared" si="1"/>
        <v>180</v>
      </c>
      <c r="F21" s="12">
        <f t="shared" si="1"/>
        <v>180</v>
      </c>
    </row>
    <row r="22" spans="2:6" ht="15" x14ac:dyDescent="0.25">
      <c r="B22" s="9" t="s">
        <v>28</v>
      </c>
      <c r="C22" s="1">
        <f>SUM(C17:C21)</f>
        <v>2965.5</v>
      </c>
      <c r="D22" s="1">
        <f>SUM(D17:D21)</f>
        <v>2965.5</v>
      </c>
      <c r="E22" s="1">
        <f>SUM(E17:E21)</f>
        <v>35586</v>
      </c>
      <c r="F22" s="1">
        <f>SUM(F17:F21)</f>
        <v>35586</v>
      </c>
    </row>
    <row r="23" spans="2:6" ht="15" x14ac:dyDescent="0.25">
      <c r="C23" s="1"/>
      <c r="D23" s="1"/>
    </row>
    <row r="24" spans="2:6" x14ac:dyDescent="0.35">
      <c r="B24" s="10" t="s">
        <v>29</v>
      </c>
      <c r="C24" s="12">
        <f>C14+C22</f>
        <v>5022</v>
      </c>
      <c r="D24" s="12">
        <f>D14+D22</f>
        <v>5022</v>
      </c>
      <c r="E24" s="12">
        <f>E14+E22</f>
        <v>60264</v>
      </c>
      <c r="F24" s="12">
        <f>F14+F22</f>
        <v>60264</v>
      </c>
    </row>
    <row r="25" spans="2:6" ht="15" x14ac:dyDescent="0.25">
      <c r="C25" s="1"/>
      <c r="D25" s="1"/>
    </row>
    <row r="26" spans="2:6" x14ac:dyDescent="0.35">
      <c r="B26" s="10" t="s">
        <v>30</v>
      </c>
      <c r="C26" s="12">
        <f>C4-C14</f>
        <v>12943.5</v>
      </c>
      <c r="D26" s="12">
        <f>C4-D14</f>
        <v>12943.5</v>
      </c>
      <c r="E26" s="12">
        <f>C4*12-E14</f>
        <v>155322</v>
      </c>
      <c r="F26" s="12">
        <f>12*D26</f>
        <v>155322</v>
      </c>
    </row>
    <row r="27" spans="2:6" x14ac:dyDescent="0.35">
      <c r="B27" s="10" t="s">
        <v>3</v>
      </c>
      <c r="C27" s="12">
        <f>MIN(C26*0.09,C35)</f>
        <v>1164.915</v>
      </c>
      <c r="D27" s="12">
        <f>MIN(D26*0.09,C35)</f>
        <v>1164.915</v>
      </c>
      <c r="E27" s="12">
        <f t="shared" ref="E27:F28" si="2">12*C27</f>
        <v>13978.98</v>
      </c>
      <c r="F27" s="12">
        <f t="shared" si="2"/>
        <v>13978.98</v>
      </c>
    </row>
    <row r="28" spans="2:6" x14ac:dyDescent="0.35">
      <c r="B28" s="10" t="s">
        <v>33</v>
      </c>
      <c r="C28" s="12">
        <f>MIN(C26*0.0775,C27)</f>
        <v>1003.12125</v>
      </c>
      <c r="D28" s="12">
        <v>0</v>
      </c>
      <c r="E28" s="12">
        <f t="shared" si="2"/>
        <v>12037.455</v>
      </c>
      <c r="F28" s="12">
        <f t="shared" si="2"/>
        <v>0</v>
      </c>
    </row>
    <row r="29" spans="2:6" ht="15" x14ac:dyDescent="0.25">
      <c r="C29" s="1"/>
      <c r="D29" s="1"/>
    </row>
    <row r="30" spans="2:6" ht="15" x14ac:dyDescent="0.25">
      <c r="B30" s="10" t="s">
        <v>31</v>
      </c>
      <c r="C30" s="12">
        <v>250</v>
      </c>
      <c r="D30" s="12">
        <v>250</v>
      </c>
      <c r="E30" s="12">
        <f>12*C30</f>
        <v>3000</v>
      </c>
      <c r="F30" s="12">
        <f>12*D30</f>
        <v>3000</v>
      </c>
    </row>
    <row r="31" spans="2:6" x14ac:dyDescent="0.35">
      <c r="B31" s="10" t="s">
        <v>32</v>
      </c>
      <c r="C31" s="12">
        <v>43.76</v>
      </c>
      <c r="D31" s="12">
        <v>425</v>
      </c>
      <c r="E31" s="12">
        <f t="shared" ref="E31:F31" si="3">12*C31</f>
        <v>525.12</v>
      </c>
      <c r="F31" s="12">
        <f t="shared" si="3"/>
        <v>5100</v>
      </c>
    </row>
    <row r="32" spans="2:6" ht="15" x14ac:dyDescent="0.25">
      <c r="B32" s="10" t="s">
        <v>62</v>
      </c>
      <c r="C32" s="12">
        <v>0</v>
      </c>
      <c r="D32" s="12">
        <v>0</v>
      </c>
      <c r="E32" s="12">
        <v>0</v>
      </c>
      <c r="F32" s="12">
        <v>0</v>
      </c>
    </row>
    <row r="33" spans="2:6" x14ac:dyDescent="0.35">
      <c r="B33" s="10" t="s">
        <v>76</v>
      </c>
      <c r="C33" s="35">
        <v>0</v>
      </c>
      <c r="D33" s="36">
        <f>IF(C4&lt;5701,0,IF(C4&lt;8549,(C4*0.0668-380.5)/0.17,IF(C4&lt;11141,(C4*(-0.0735)+819.08)/0.17,0)))</f>
        <v>0</v>
      </c>
      <c r="E33" s="35">
        <v>0</v>
      </c>
      <c r="F33" s="35">
        <f>D33*12</f>
        <v>0</v>
      </c>
    </row>
    <row r="34" spans="2:6" ht="15" x14ac:dyDescent="0.25">
      <c r="B34" s="10" t="s">
        <v>34</v>
      </c>
      <c r="C34" s="34">
        <f>ROUND(C4-C14-C30-C33,0)</f>
        <v>12694</v>
      </c>
      <c r="D34" s="34">
        <f>ROUND(C4-D14-D30-D33,0)</f>
        <v>12694</v>
      </c>
      <c r="E34" s="34">
        <f>12*C34</f>
        <v>152328</v>
      </c>
      <c r="F34" s="34">
        <f>12*D34</f>
        <v>152328</v>
      </c>
    </row>
    <row r="35" spans="2:6" ht="15" x14ac:dyDescent="0.25">
      <c r="B35" s="10" t="s">
        <v>2</v>
      </c>
      <c r="C35" s="12">
        <f>(C34*0.17)-C31</f>
        <v>2114.2199999999998</v>
      </c>
      <c r="D35" s="12">
        <f>MAX(D34*0.17-D31,0)</f>
        <v>1732.98</v>
      </c>
      <c r="E35" s="18">
        <f>MAX(IF(E34&lt;=85528,(E34*0.17)-525.12,((E34-85528)*0.32)+14539.76),0)</f>
        <v>35915.760000000002</v>
      </c>
      <c r="F35" s="18">
        <f>MAX(IF(F34&lt;=120000,(F34*0.17)-5100,((F34-120000)*0.32)+15300),0)</f>
        <v>25644.959999999999</v>
      </c>
    </row>
    <row r="36" spans="2:6" ht="15" x14ac:dyDescent="0.25">
      <c r="B36" s="14" t="s">
        <v>35</v>
      </c>
      <c r="C36" s="15">
        <f>ROUND(C35-C28,0)</f>
        <v>1111</v>
      </c>
      <c r="D36" s="15">
        <f>ROUND(D35-D28,0)</f>
        <v>1733</v>
      </c>
      <c r="E36" s="15">
        <f>ROUND(E35-(E28),0)</f>
        <v>23878</v>
      </c>
      <c r="F36" s="15">
        <f>ROUND(F35-(F28),0)</f>
        <v>25645</v>
      </c>
    </row>
    <row r="37" spans="2:6" x14ac:dyDescent="0.35">
      <c r="C37" s="1"/>
      <c r="D37" s="1"/>
    </row>
    <row r="38" spans="2:6" x14ac:dyDescent="0.35">
      <c r="B38" s="14" t="s">
        <v>36</v>
      </c>
      <c r="C38" s="15">
        <f>C4-C14-C27-C36</f>
        <v>10667.584999999999</v>
      </c>
      <c r="D38" s="15">
        <f>C4-D14-D27-D36</f>
        <v>10045.584999999999</v>
      </c>
      <c r="E38" s="15">
        <f>E8-E14-E27-E36</f>
        <v>117465.01999999999</v>
      </c>
      <c r="F38" s="15">
        <f>F8-F14-F27-F36</f>
        <v>115698.01999999999</v>
      </c>
    </row>
    <row r="39" spans="2:6" x14ac:dyDescent="0.35">
      <c r="C39" s="1"/>
      <c r="D39" s="1"/>
    </row>
    <row r="40" spans="2:6" x14ac:dyDescent="0.35">
      <c r="B40" s="10" t="s">
        <v>37</v>
      </c>
      <c r="C40" s="12">
        <f>C4+C22</f>
        <v>17965.5</v>
      </c>
      <c r="D40" s="12">
        <f>C4+D22</f>
        <v>17965.5</v>
      </c>
      <c r="E40" s="12">
        <f>E8+E22</f>
        <v>215586</v>
      </c>
      <c r="F40" s="12">
        <f>F8+F22</f>
        <v>215586</v>
      </c>
    </row>
    <row r="41" spans="2:6" x14ac:dyDescent="0.35">
      <c r="B41" s="10" t="s">
        <v>38</v>
      </c>
      <c r="C41" s="12">
        <f>C14+C22+C27+C36</f>
        <v>7297.915</v>
      </c>
      <c r="D41" s="12">
        <f>D14+D22+D27+D36</f>
        <v>7919.915</v>
      </c>
      <c r="E41" s="12">
        <f>E14+E22+E27+E36</f>
        <v>98120.98</v>
      </c>
      <c r="F41" s="12">
        <f>F14+F22+F27+F36</f>
        <v>99887.98</v>
      </c>
    </row>
    <row r="42" spans="2:6" x14ac:dyDescent="0.35">
      <c r="B42" s="10" t="s">
        <v>39</v>
      </c>
      <c r="C42" s="13">
        <f>C41/C38</f>
        <v>0.68412063273927515</v>
      </c>
      <c r="D42" s="13">
        <f>D41/D38</f>
        <v>0.78839758958786377</v>
      </c>
      <c r="E42" s="13">
        <f>E41/E38</f>
        <v>0.83532084700619813</v>
      </c>
      <c r="F42" s="13">
        <f>F41/F38</f>
        <v>0.86335081620238618</v>
      </c>
    </row>
    <row r="43" spans="2:6" x14ac:dyDescent="0.35">
      <c r="B43" s="10" t="s">
        <v>40</v>
      </c>
      <c r="C43" s="13">
        <f>C38/C40</f>
        <v>0.59378169268876457</v>
      </c>
      <c r="D43" s="13">
        <f>D38/D40</f>
        <v>0.55915977846427867</v>
      </c>
      <c r="E43" s="13">
        <f>E38/E40</f>
        <v>0.54486385943428606</v>
      </c>
      <c r="F43" s="13">
        <f>F38/F40</f>
        <v>0.53666759437069189</v>
      </c>
    </row>
  </sheetData>
  <mergeCells count="3">
    <mergeCell ref="C4:D4"/>
    <mergeCell ref="C6:D6"/>
    <mergeCell ref="E6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działalność gospodarcza</vt:lpstr>
      <vt:lpstr>przychód z pracy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Arkadiusz Sebastjan</dc:creator>
  <cp:lastModifiedBy>Sobieslaw</cp:lastModifiedBy>
  <dcterms:created xsi:type="dcterms:W3CDTF">2021-08-04T11:55:06Z</dcterms:created>
  <dcterms:modified xsi:type="dcterms:W3CDTF">2021-11-23T20:24:44Z</dcterms:modified>
</cp:coreProperties>
</file>