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-15" windowWidth="28050" windowHeight="10770"/>
  </bookViews>
  <sheets>
    <sheet name="Arkusz1" sheetId="1" r:id="rId1"/>
    <sheet name="Arkusz2" sheetId="2" state="hidden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F35" i="1" l="1"/>
  <c r="E33" i="1"/>
  <c r="D11" i="1" l="1"/>
  <c r="E32" i="1" l="1"/>
  <c r="F37" i="1" l="1"/>
  <c r="F36" i="1"/>
  <c r="F32" i="1"/>
  <c r="D32" i="1"/>
  <c r="E34" i="1"/>
  <c r="E35" i="1" s="1"/>
  <c r="C32" i="1"/>
  <c r="F21" i="1"/>
  <c r="E19" i="1"/>
  <c r="E20" i="1" s="1"/>
  <c r="E18" i="1"/>
  <c r="E11" i="1"/>
  <c r="E8" i="1"/>
  <c r="D8" i="1"/>
  <c r="D23" i="1" l="1"/>
  <c r="D37" i="1"/>
  <c r="C33" i="1"/>
  <c r="C37" i="1"/>
  <c r="D35" i="1"/>
  <c r="F38" i="1"/>
  <c r="E36" i="1"/>
  <c r="C19" i="1"/>
  <c r="C20" i="1" s="1"/>
  <c r="D36" i="1"/>
  <c r="F39" i="1"/>
  <c r="D38" i="1" l="1"/>
  <c r="D39" i="1" s="1"/>
  <c r="E37" i="1"/>
  <c r="E38" i="1" s="1"/>
  <c r="E39" i="1" s="1"/>
  <c r="C34" i="1"/>
  <c r="C35" i="1" s="1"/>
  <c r="C36" i="1" l="1"/>
  <c r="C38" i="1" s="1"/>
  <c r="C39" i="1" s="1"/>
  <c r="C4" i="1"/>
  <c r="C3" i="1"/>
  <c r="D3" i="1" s="1"/>
  <c r="D2" i="1"/>
  <c r="E21" i="1" s="1"/>
  <c r="D4" i="1" l="1"/>
  <c r="D21" i="1"/>
  <c r="E22" i="1"/>
  <c r="C21" i="1"/>
  <c r="C22" i="1" s="1"/>
  <c r="F23" i="1"/>
  <c r="E23" i="1"/>
  <c r="C23" i="1"/>
  <c r="D5" i="1"/>
  <c r="C5" i="1"/>
  <c r="E24" i="1" l="1"/>
  <c r="E25" i="1" s="1"/>
  <c r="D47" i="1" s="1"/>
  <c r="E54" i="1" s="1"/>
  <c r="E55" i="1" s="1"/>
  <c r="C24" i="1"/>
  <c r="C25" i="1" s="1"/>
  <c r="F22" i="1"/>
  <c r="F24" i="1" s="1"/>
  <c r="F25" i="1" s="1"/>
  <c r="D22" i="1"/>
  <c r="D24" i="1" s="1"/>
  <c r="D25" i="1" s="1"/>
  <c r="C47" i="1" l="1"/>
  <c r="E47" i="1" s="1"/>
  <c r="F47" i="1"/>
  <c r="D45" i="1"/>
  <c r="C45" i="1"/>
  <c r="E45" i="1" s="1"/>
  <c r="C48" i="1"/>
  <c r="E48" i="1" s="1"/>
  <c r="D48" i="1"/>
  <c r="C46" i="1"/>
  <c r="E46" i="1" s="1"/>
  <c r="D46" i="1"/>
  <c r="F48" i="1" l="1"/>
  <c r="F54" i="1"/>
  <c r="F55" i="1" s="1"/>
  <c r="F46" i="1"/>
  <c r="D54" i="1"/>
  <c r="D55" i="1" s="1"/>
  <c r="F45" i="1"/>
  <c r="C54" i="1"/>
  <c r="C55" i="1" s="1"/>
</calcChain>
</file>

<file path=xl/sharedStrings.xml><?xml version="1.0" encoding="utf-8"?>
<sst xmlns="http://schemas.openxmlformats.org/spreadsheetml/2006/main" count="59" uniqueCount="45">
  <si>
    <t>Emerytura Brutto</t>
  </si>
  <si>
    <t>Zdrowotne</t>
  </si>
  <si>
    <t>Podatek</t>
  </si>
  <si>
    <t>Emerytura Netto</t>
  </si>
  <si>
    <t>Rocznie</t>
  </si>
  <si>
    <t>Stawka Ryczałtu</t>
  </si>
  <si>
    <t>Wynagrodzenie za miesiąc Brutto</t>
  </si>
  <si>
    <t>Roczny Przychod Działalność</t>
  </si>
  <si>
    <t>Roczne koszty Działalność</t>
  </si>
  <si>
    <t>Ubezpieczenie społeczne</t>
  </si>
  <si>
    <t>Podstawa Ulgi dla klasy średniej</t>
  </si>
  <si>
    <t>Ulga dla Klasy średniej</t>
  </si>
  <si>
    <t>Podstawa Podatku</t>
  </si>
  <si>
    <t>Składka Zdrowotna</t>
  </si>
  <si>
    <t>Suma obciążeń</t>
  </si>
  <si>
    <t xml:space="preserve">Do wypłaty </t>
  </si>
  <si>
    <t>Skala Podatkowa</t>
  </si>
  <si>
    <t>Stawka</t>
  </si>
  <si>
    <t>Dochód miesięczny</t>
  </si>
  <si>
    <t>Dochód roczny</t>
  </si>
  <si>
    <t>Podatek Liniowy</t>
  </si>
  <si>
    <t>Stosunek Pracy</t>
  </si>
  <si>
    <t>Ryczalt</t>
  </si>
  <si>
    <t>Ryczałt</t>
  </si>
  <si>
    <t>Stos. Pracy</t>
  </si>
  <si>
    <t xml:space="preserve"> Liniowy</t>
  </si>
  <si>
    <t xml:space="preserve"> Skala</t>
  </si>
  <si>
    <t>Strata/mc</t>
  </si>
  <si>
    <t>Zysk/mc</t>
  </si>
  <si>
    <t>Strata/rok</t>
  </si>
  <si>
    <t>Zysk/rok</t>
  </si>
  <si>
    <t>Ile zyskasz rezygnując z emerytury</t>
  </si>
  <si>
    <t>Miesięcznie</t>
  </si>
  <si>
    <t>MOJA EMERYTURA</t>
  </si>
  <si>
    <t>Dodatkowa praca zarobkowa
w formie</t>
  </si>
  <si>
    <t>Parametry dodatkowego
zarobku</t>
  </si>
  <si>
    <t>Dodatkowa praca bez rezygnowania z emerytury</t>
  </si>
  <si>
    <t>Rezygnacja z emerutury</t>
  </si>
  <si>
    <t>Ponieważ nie pobieram emerytury jej wartość będzie wzrastać rocznie o procent</t>
  </si>
  <si>
    <t>Skala</t>
  </si>
  <si>
    <t>Liniowy</t>
  </si>
  <si>
    <t>Stosunek pracy</t>
  </si>
  <si>
    <t>Tyle lat trzeba pracować
bez emerytury</t>
  </si>
  <si>
    <t>moja emerytura
wzrośnie do kwoty</t>
  </si>
  <si>
    <t>Wyliczony okres przez który trzeba pracować bez pobierania emerytury aby potem po ponownym jej pobieraniu przez ten sam okres odrobić poniesione straty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</si>
</sst>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0.0%"/>
  </numFmts>
  <fonts count="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64" fontId="0" fillId="0" borderId="0" xfId="0" applyNumberFormat="1"/>
    <xf numFmtId="44" fontId="1" fillId="0" borderId="1" xfId="0" applyNumberFormat="1" applyFont="1" applyBorder="1"/>
    <xf numFmtId="44" fontId="0" fillId="2" borderId="1" xfId="0" applyNumberFormat="1" applyFill="1" applyBorder="1"/>
    <xf numFmtId="44" fontId="0" fillId="3" borderId="1" xfId="0" applyNumberFormat="1" applyFill="1" applyBorder="1" applyAlignment="1">
      <alignment horizontal="left" vertical="center"/>
    </xf>
    <xf numFmtId="43" fontId="0" fillId="3" borderId="1" xfId="0" applyNumberForma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/>
    <xf numFmtId="44" fontId="0" fillId="3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44" fontId="0" fillId="3" borderId="1" xfId="0" applyNumberFormat="1" applyFill="1" applyBorder="1"/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44" fontId="2" fillId="3" borderId="1" xfId="0" applyNumberFormat="1" applyFont="1" applyFill="1" applyBorder="1"/>
    <xf numFmtId="44" fontId="2" fillId="3" borderId="1" xfId="0" applyNumberFormat="1" applyFont="1" applyFill="1" applyBorder="1" applyAlignment="1">
      <alignment vertical="center"/>
    </xf>
    <xf numFmtId="0" fontId="2" fillId="6" borderId="1" xfId="0" applyFont="1" applyFill="1" applyBorder="1" applyAlignment="1">
      <alignment horizontal="center" vertical="center"/>
    </xf>
    <xf numFmtId="44" fontId="2" fillId="6" borderId="1" xfId="0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9" borderId="0" xfId="0" applyFont="1" applyFill="1" applyBorder="1" applyAlignment="1">
      <alignment horizontal="center" vertical="top" wrapText="1"/>
    </xf>
    <xf numFmtId="0" fontId="0" fillId="9" borderId="0" xfId="0" applyFill="1"/>
    <xf numFmtId="44" fontId="0" fillId="7" borderId="1" xfId="0" applyNumberFormat="1" applyFill="1" applyBorder="1" applyProtection="1">
      <protection locked="0"/>
    </xf>
    <xf numFmtId="44" fontId="0" fillId="7" borderId="1" xfId="0" applyNumberFormat="1" applyFill="1" applyBorder="1" applyAlignment="1" applyProtection="1">
      <alignment horizontal="center" vertical="center"/>
      <protection locked="0"/>
    </xf>
    <xf numFmtId="164" fontId="0" fillId="7" borderId="1" xfId="0" applyNumberFormat="1" applyFill="1" applyBorder="1" applyAlignment="1" applyProtection="1">
      <alignment horizontal="center" vertical="center"/>
      <protection locked="0"/>
    </xf>
    <xf numFmtId="9" fontId="0" fillId="7" borderId="1" xfId="0" applyNumberForma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top" wrapText="1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44" fontId="4" fillId="3" borderId="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0" fillId="3" borderId="1" xfId="0" applyFill="1" applyBorder="1"/>
    <xf numFmtId="0" fontId="0" fillId="6" borderId="1" xfId="0" applyFill="1" applyBorder="1" applyAlignment="1">
      <alignment horizontal="center" vertical="center"/>
    </xf>
    <xf numFmtId="44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44" fontId="0" fillId="9" borderId="0" xfId="0" applyNumberFormat="1" applyFill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76"/>
  <sheetViews>
    <sheetView tabSelected="1" workbookViewId="0">
      <selection activeCell="C2" sqref="C2"/>
    </sheetView>
  </sheetViews>
  <sheetFormatPr defaultRowHeight="15" x14ac:dyDescent="0.25"/>
  <cols>
    <col min="1" max="1" width="14.140625" customWidth="1"/>
    <col min="2" max="2" width="15.85546875" customWidth="1"/>
    <col min="3" max="3" width="16" customWidth="1"/>
    <col min="4" max="4" width="19.5703125" customWidth="1"/>
    <col min="5" max="5" width="17" customWidth="1"/>
    <col min="6" max="6" width="15.5703125" customWidth="1"/>
  </cols>
  <sheetData>
    <row r="1" spans="1:50" ht="23.25" customHeight="1" x14ac:dyDescent="0.25">
      <c r="A1" s="33" t="s">
        <v>33</v>
      </c>
      <c r="B1" s="33"/>
      <c r="C1" s="10" t="s">
        <v>32</v>
      </c>
      <c r="D1" s="10" t="s">
        <v>4</v>
      </c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</row>
    <row r="2" spans="1:50" x14ac:dyDescent="0.25">
      <c r="A2" s="38" t="s">
        <v>0</v>
      </c>
      <c r="B2" s="38"/>
      <c r="C2" s="22">
        <v>2000</v>
      </c>
      <c r="D2" s="11">
        <f>C2*12</f>
        <v>24000</v>
      </c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</row>
    <row r="3" spans="1:50" x14ac:dyDescent="0.25">
      <c r="A3" s="38" t="s">
        <v>1</v>
      </c>
      <c r="B3" s="38"/>
      <c r="C3" s="11">
        <f>C2*9%</f>
        <v>180</v>
      </c>
      <c r="D3" s="11">
        <f>C3*12</f>
        <v>2160</v>
      </c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</row>
    <row r="4" spans="1:50" x14ac:dyDescent="0.25">
      <c r="A4" s="38" t="s">
        <v>2</v>
      </c>
      <c r="B4" s="38"/>
      <c r="C4" s="11">
        <f>MAX(C2*17%-425,0)</f>
        <v>0</v>
      </c>
      <c r="D4" s="11">
        <f>MAX(IF(D2&lt;=120000,D2*17%-5100,(D2-120000)*32%+15300),0)</f>
        <v>0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</row>
    <row r="5" spans="1:50" x14ac:dyDescent="0.25">
      <c r="A5" s="38" t="s">
        <v>3</v>
      </c>
      <c r="B5" s="38"/>
      <c r="C5" s="11">
        <f>C2-C3-C4</f>
        <v>1820</v>
      </c>
      <c r="D5" s="11">
        <f>D2-D3-D4</f>
        <v>21840</v>
      </c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</row>
    <row r="6" spans="1:50" ht="27" customHeight="1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</row>
    <row r="7" spans="1:50" ht="50.25" customHeight="1" x14ac:dyDescent="0.25">
      <c r="A7" s="34" t="s">
        <v>34</v>
      </c>
      <c r="B7" s="30"/>
      <c r="C7" s="12" t="s">
        <v>35</v>
      </c>
      <c r="D7" s="13" t="s">
        <v>18</v>
      </c>
      <c r="E7" s="13" t="s">
        <v>19</v>
      </c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</row>
    <row r="8" spans="1:50" ht="23.25" customHeight="1" x14ac:dyDescent="0.25">
      <c r="A8" s="39" t="s">
        <v>7</v>
      </c>
      <c r="B8" s="39"/>
      <c r="C8" s="23">
        <v>38419</v>
      </c>
      <c r="D8" s="40">
        <f>MAX(C8-C9,0)/12</f>
        <v>3201.5833333333335</v>
      </c>
      <c r="E8" s="40">
        <f>MAX(C8-C9,0)</f>
        <v>38419</v>
      </c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</row>
    <row r="9" spans="1:50" ht="18.75" customHeight="1" x14ac:dyDescent="0.25">
      <c r="A9" s="39" t="s">
        <v>8</v>
      </c>
      <c r="B9" s="39"/>
      <c r="C9" s="23">
        <v>0</v>
      </c>
      <c r="D9" s="41"/>
      <c r="E9" s="4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</row>
    <row r="10" spans="1:50" ht="18.75" customHeight="1" x14ac:dyDescent="0.25">
      <c r="A10" s="39" t="s">
        <v>5</v>
      </c>
      <c r="B10" s="39"/>
      <c r="C10" s="24">
        <v>0.12</v>
      </c>
      <c r="D10" s="8"/>
      <c r="E10" s="8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</row>
    <row r="11" spans="1:50" ht="21.75" customHeight="1" x14ac:dyDescent="0.25">
      <c r="A11" s="39" t="s">
        <v>6</v>
      </c>
      <c r="B11" s="39"/>
      <c r="C11" s="23">
        <v>4000</v>
      </c>
      <c r="D11" s="9">
        <f>MAX(C11-C11*13.71%-250,0)</f>
        <v>3201.6</v>
      </c>
      <c r="E11" s="9">
        <f>D11*12</f>
        <v>38419.199999999997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</row>
    <row r="12" spans="1:50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</row>
    <row r="13" spans="1:50" x14ac:dyDescent="0.2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</row>
    <row r="14" spans="1:50" x14ac:dyDescent="0.2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</row>
    <row r="15" spans="1:50" ht="25.5" customHeight="1" x14ac:dyDescent="0.25">
      <c r="A15" s="35" t="s">
        <v>36</v>
      </c>
      <c r="B15" s="35"/>
      <c r="C15" s="35"/>
      <c r="D15" s="35"/>
      <c r="E15" s="35"/>
      <c r="F15" s="35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</row>
    <row r="16" spans="1:50" ht="22.5" customHeight="1" x14ac:dyDescent="0.25">
      <c r="A16" s="36"/>
      <c r="B16" s="37"/>
      <c r="C16" s="14" t="s">
        <v>16</v>
      </c>
      <c r="D16" s="14" t="s">
        <v>20</v>
      </c>
      <c r="E16" s="14" t="s">
        <v>21</v>
      </c>
      <c r="F16" s="14" t="s">
        <v>22</v>
      </c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</row>
    <row r="17" spans="1:50" ht="8.25" hidden="1" customHeight="1" x14ac:dyDescent="0.25">
      <c r="A17" s="42"/>
      <c r="B17" s="42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</row>
    <row r="18" spans="1:50" ht="15.75" x14ac:dyDescent="0.25">
      <c r="A18" s="26" t="s">
        <v>9</v>
      </c>
      <c r="B18" s="26"/>
      <c r="C18" s="15">
        <v>0</v>
      </c>
      <c r="D18" s="15">
        <v>0</v>
      </c>
      <c r="E18" s="15">
        <f>MIN(C11*13.71%*12,24357.19)</f>
        <v>6580.7999999999993</v>
      </c>
      <c r="F18" s="15">
        <v>0</v>
      </c>
      <c r="G18" s="43"/>
      <c r="H18" s="43"/>
      <c r="I18" s="43"/>
      <c r="J18" s="43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</row>
    <row r="19" spans="1:50" ht="15.75" x14ac:dyDescent="0.25">
      <c r="A19" s="26" t="s">
        <v>10</v>
      </c>
      <c r="B19" s="26"/>
      <c r="C19" s="15">
        <f>E8</f>
        <v>38419</v>
      </c>
      <c r="D19" s="15">
        <v>0</v>
      </c>
      <c r="E19" s="15">
        <f>C11*12</f>
        <v>48000</v>
      </c>
      <c r="F19" s="15">
        <v>0</v>
      </c>
      <c r="G19" s="43"/>
      <c r="H19" s="43"/>
      <c r="I19" s="43"/>
      <c r="J19" s="43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</row>
    <row r="20" spans="1:50" ht="15.75" x14ac:dyDescent="0.25">
      <c r="A20" s="26" t="s">
        <v>11</v>
      </c>
      <c r="B20" s="26"/>
      <c r="C20" s="15">
        <f>ROUND(MAX(IF(AND(C19&gt;=68412,C19&lt;=102588),(C19*6.68/100-4566)/0.17,IF(AND(C19&gt;102588,C19&lt;=133692),(-C19*7.35/100+9829)/0.17,0)),0),2)</f>
        <v>0</v>
      </c>
      <c r="D20" s="15">
        <v>0</v>
      </c>
      <c r="E20" s="15">
        <f>ROUND(MAX(IF(AND(E19&gt;=68412,E19&lt;=102588),(E19*6.68/100-4566)/0.17,IF(AND(E19&gt;102588,E19&lt;=133692),(-E19*7.35/100+9829)/0.17,0)),0),2)</f>
        <v>0</v>
      </c>
      <c r="F20" s="15">
        <v>0</v>
      </c>
      <c r="G20" s="43"/>
      <c r="H20" s="43"/>
      <c r="I20" s="43"/>
      <c r="J20" s="43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</row>
    <row r="21" spans="1:50" ht="15.75" x14ac:dyDescent="0.25">
      <c r="A21" s="26" t="s">
        <v>12</v>
      </c>
      <c r="B21" s="26"/>
      <c r="C21" s="15">
        <f>E8+D2-C20</f>
        <v>62419</v>
      </c>
      <c r="D21" s="15">
        <f>E8+D2</f>
        <v>62419</v>
      </c>
      <c r="E21" s="15">
        <f>MAX(E11+D2-E20,0)</f>
        <v>62419.199999999997</v>
      </c>
      <c r="F21" s="15">
        <f>C8</f>
        <v>38419</v>
      </c>
      <c r="G21" s="43"/>
      <c r="H21" s="43"/>
      <c r="I21" s="43"/>
      <c r="J21" s="43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</row>
    <row r="22" spans="1:50" ht="15.75" x14ac:dyDescent="0.25">
      <c r="A22" s="26" t="s">
        <v>2</v>
      </c>
      <c r="B22" s="26"/>
      <c r="C22" s="15">
        <f>MAX(IF(C21 &lt;= 120000,C21*17%-5100,(C21-120000)*32%+15300),0)</f>
        <v>5511.2300000000014</v>
      </c>
      <c r="D22" s="15">
        <f>E8*19% +D4</f>
        <v>7299.61</v>
      </c>
      <c r="E22" s="15">
        <f>MAX(IF(E21 &lt;= 120000,E21*17%-5100,(E21-120000)*32%+15300),0)</f>
        <v>5511.264000000001</v>
      </c>
      <c r="F22" s="15">
        <f>C8*C10+D4</f>
        <v>4610.28</v>
      </c>
      <c r="G22" s="43"/>
      <c r="H22" s="43"/>
      <c r="I22" s="43"/>
      <c r="J22" s="43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</row>
    <row r="23" spans="1:50" ht="15.75" x14ac:dyDescent="0.25">
      <c r="A23" s="26" t="s">
        <v>13</v>
      </c>
      <c r="B23" s="26"/>
      <c r="C23" s="15">
        <f>MAX(E8-C18,12*3010)*9%+D3</f>
        <v>5617.71</v>
      </c>
      <c r="D23" s="15">
        <f>MAX(E8*4.9%,3250.8)+D3</f>
        <v>5410.8</v>
      </c>
      <c r="E23" s="15">
        <f>(C11*12-E18)*9%+D3</f>
        <v>5887.7279999999992</v>
      </c>
      <c r="F23" s="15">
        <f>IF(C8&lt;=60000,324*12,IF(C8&lt;=300000,540*12,972*12))+D3</f>
        <v>6048</v>
      </c>
      <c r="G23" s="43"/>
      <c r="H23" s="43"/>
      <c r="I23" s="43"/>
      <c r="J23" s="43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</row>
    <row r="24" spans="1:50" ht="15.75" x14ac:dyDescent="0.25">
      <c r="A24" s="26" t="s">
        <v>14</v>
      </c>
      <c r="B24" s="26"/>
      <c r="C24" s="15">
        <f>C18+C22+C23</f>
        <v>11128.940000000002</v>
      </c>
      <c r="D24" s="15">
        <f>D18+D22+D23</f>
        <v>12710.41</v>
      </c>
      <c r="E24" s="15">
        <f>E18+E22+E23</f>
        <v>17979.792000000001</v>
      </c>
      <c r="F24" s="15">
        <f>F22+F23+D3+D4</f>
        <v>12818.279999999999</v>
      </c>
      <c r="G24" s="43"/>
      <c r="H24" s="43"/>
      <c r="I24" s="43"/>
      <c r="J24" s="43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</row>
    <row r="25" spans="1:50" ht="15.75" x14ac:dyDescent="0.25">
      <c r="A25" s="26" t="s">
        <v>15</v>
      </c>
      <c r="B25" s="26"/>
      <c r="C25" s="15">
        <f>E8+D2-C24</f>
        <v>51290.06</v>
      </c>
      <c r="D25" s="15">
        <f>E8+D2-D24</f>
        <v>49708.59</v>
      </c>
      <c r="E25" s="15">
        <f>C11*12+D2-E24</f>
        <v>54020.207999999999</v>
      </c>
      <c r="F25" s="15">
        <f>D2+E8-F24</f>
        <v>49600.72</v>
      </c>
      <c r="G25" s="43"/>
      <c r="H25" s="43"/>
      <c r="I25" s="43"/>
      <c r="J25" s="43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</row>
    <row r="26" spans="1:50" x14ac:dyDescent="0.2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</row>
    <row r="27" spans="1:50" ht="5.25" customHeight="1" x14ac:dyDescent="0.2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</row>
    <row r="28" spans="1:50" ht="0.75" hidden="1" x14ac:dyDescent="0.25"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</row>
    <row r="29" spans="1:50" ht="27" customHeight="1" x14ac:dyDescent="0.25">
      <c r="A29" s="35" t="s">
        <v>37</v>
      </c>
      <c r="B29" s="35"/>
      <c r="C29" s="35"/>
      <c r="D29" s="35"/>
      <c r="E29" s="35"/>
      <c r="F29" s="35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</row>
    <row r="30" spans="1:50" ht="22.5" customHeight="1" x14ac:dyDescent="0.25">
      <c r="A30" s="31"/>
      <c r="B30" s="31"/>
      <c r="C30" s="14" t="s">
        <v>16</v>
      </c>
      <c r="D30" s="14" t="s">
        <v>20</v>
      </c>
      <c r="E30" s="14" t="s">
        <v>21</v>
      </c>
      <c r="F30" s="14" t="s">
        <v>22</v>
      </c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</row>
    <row r="31" spans="1:50" hidden="1" x14ac:dyDescent="0.25"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</row>
    <row r="32" spans="1:50" ht="15.75" x14ac:dyDescent="0.25">
      <c r="A32" s="26" t="s">
        <v>9</v>
      </c>
      <c r="B32" s="26"/>
      <c r="C32" s="16">
        <f>12*1124.23</f>
        <v>13490.76</v>
      </c>
      <c r="D32" s="16">
        <f>12*1124.23</f>
        <v>13490.76</v>
      </c>
      <c r="E32" s="16">
        <f>MIN(C11*13.71%*12,24357.19)</f>
        <v>6580.7999999999993</v>
      </c>
      <c r="F32" s="16">
        <f>12*1124.23</f>
        <v>13490.76</v>
      </c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</row>
    <row r="33" spans="1:50" ht="15.75" x14ac:dyDescent="0.25">
      <c r="A33" s="26" t="s">
        <v>10</v>
      </c>
      <c r="B33" s="26"/>
      <c r="C33" s="16">
        <f>MAX(E8-85528,0)</f>
        <v>0</v>
      </c>
      <c r="D33" s="16">
        <v>0</v>
      </c>
      <c r="E33" s="16">
        <f>MAX(C11*12-85528,0)</f>
        <v>0</v>
      </c>
      <c r="F33" s="16">
        <v>0</v>
      </c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</row>
    <row r="34" spans="1:50" ht="15.75" x14ac:dyDescent="0.25">
      <c r="A34" s="26" t="s">
        <v>11</v>
      </c>
      <c r="B34" s="26"/>
      <c r="C34" s="16">
        <f>ROUND(MAX(IF(AND(C33&gt;=68412,C33&lt;=102588),(C33*6.68/100-4566)/0.17,IF(AND(C33&gt;102588,C33&lt;=133692),(-C33*7.35/100+9829)/0.17,0)),0),2)</f>
        <v>0</v>
      </c>
      <c r="D34" s="16">
        <v>0</v>
      </c>
      <c r="E34" s="16">
        <f>ROUND(MAX(IF(AND(E33&gt;=68412,E33&lt;=102588),(E33*6.68/100-4566)/0.17,IF(AND(E33&gt;102588,E33&lt;=133692),(-E33*7.35/100+9829)/0.17,0)),0),2)</f>
        <v>0</v>
      </c>
      <c r="F34" s="16">
        <v>0</v>
      </c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</row>
    <row r="35" spans="1:50" ht="15.75" x14ac:dyDescent="0.25">
      <c r="A35" s="26" t="s">
        <v>12</v>
      </c>
      <c r="B35" s="26"/>
      <c r="C35" s="16">
        <f>MAX(C33-C32-C34,0)</f>
        <v>0</v>
      </c>
      <c r="D35" s="16">
        <f>MAX(E8-D32-85528,0)</f>
        <v>0</v>
      </c>
      <c r="E35" s="16">
        <f>MAX(E11-E34-85528,0)</f>
        <v>0</v>
      </c>
      <c r="F35" s="16">
        <f>MAX(C8-F32-85528,0)</f>
        <v>0</v>
      </c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</row>
    <row r="36" spans="1:50" ht="15.75" x14ac:dyDescent="0.25">
      <c r="A36" s="26" t="s">
        <v>2</v>
      </c>
      <c r="B36" s="26"/>
      <c r="C36" s="16">
        <f>MAX(IF(C35 &lt;= 120000,C35*17%-5100,(C35-120000)*32%+15300),0)</f>
        <v>0</v>
      </c>
      <c r="D36" s="16">
        <f>D35*19%</f>
        <v>0</v>
      </c>
      <c r="E36" s="16">
        <f>MAX(IF(E35 &lt;= 120000,E35*17%-5100,(E35-120000)*32%+15300),0)</f>
        <v>0</v>
      </c>
      <c r="F36" s="16">
        <f>C8*C10</f>
        <v>4610.28</v>
      </c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</row>
    <row r="37" spans="1:50" ht="15.75" x14ac:dyDescent="0.25">
      <c r="A37" s="26" t="s">
        <v>13</v>
      </c>
      <c r="B37" s="26"/>
      <c r="C37" s="16">
        <f>MAX(E8-C32,12*3010)*9%</f>
        <v>3250.7999999999997</v>
      </c>
      <c r="D37" s="16">
        <f>MAX(MAX(E8-D32)*4.9%,3250.8)</f>
        <v>3250.8</v>
      </c>
      <c r="E37" s="16">
        <f>(C11*12-E32)*9%</f>
        <v>3727.7279999999996</v>
      </c>
      <c r="F37" s="16">
        <f>IF(C8&lt;=60000,324*12,IF(C8&lt;=300000,540*12,972*12))</f>
        <v>3888</v>
      </c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</row>
    <row r="38" spans="1:50" ht="15.75" x14ac:dyDescent="0.25">
      <c r="A38" s="26" t="s">
        <v>14</v>
      </c>
      <c r="B38" s="26"/>
      <c r="C38" s="16">
        <f>C32+C36+C37</f>
        <v>16741.560000000001</v>
      </c>
      <c r="D38" s="16">
        <f>D32+D36+D37</f>
        <v>16741.560000000001</v>
      </c>
      <c r="E38" s="16">
        <f>E32+E36+E37</f>
        <v>10308.527999999998</v>
      </c>
      <c r="F38" s="16">
        <f>F32+F36+F37</f>
        <v>21989.040000000001</v>
      </c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</row>
    <row r="39" spans="1:50" ht="15.75" x14ac:dyDescent="0.25">
      <c r="A39" s="26" t="s">
        <v>15</v>
      </c>
      <c r="B39" s="26"/>
      <c r="C39" s="16">
        <f>MAX(E8-C38,0)</f>
        <v>21677.439999999999</v>
      </c>
      <c r="D39" s="16">
        <f>MAX(E8-D38,0)</f>
        <v>21677.439999999999</v>
      </c>
      <c r="E39" s="16">
        <f>C11*12-E38</f>
        <v>37691.472000000002</v>
      </c>
      <c r="F39" s="16">
        <f>MAX(E8-F38,0)</f>
        <v>16429.96</v>
      </c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</row>
    <row r="40" spans="1:50" x14ac:dyDescent="0.2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</row>
    <row r="41" spans="1:50" x14ac:dyDescent="0.2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</row>
    <row r="42" spans="1:50" x14ac:dyDescent="0.2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</row>
    <row r="43" spans="1:50" ht="27" customHeight="1" x14ac:dyDescent="0.25">
      <c r="A43" s="21"/>
      <c r="B43" s="32" t="s">
        <v>31</v>
      </c>
      <c r="C43" s="32"/>
      <c r="D43" s="32"/>
      <c r="E43" s="32"/>
      <c r="F43" s="32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</row>
    <row r="44" spans="1:50" x14ac:dyDescent="0.25">
      <c r="A44" s="21"/>
      <c r="B44" s="8"/>
      <c r="C44" s="7" t="s">
        <v>30</v>
      </c>
      <c r="D44" s="7" t="s">
        <v>29</v>
      </c>
      <c r="E44" s="7" t="s">
        <v>28</v>
      </c>
      <c r="F44" s="7" t="s">
        <v>27</v>
      </c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</row>
    <row r="45" spans="1:50" x14ac:dyDescent="0.25">
      <c r="A45" s="21"/>
      <c r="B45" s="6" t="s">
        <v>26</v>
      </c>
      <c r="C45" s="3">
        <f>MAX(C39-C25,0)</f>
        <v>0</v>
      </c>
      <c r="D45" s="2">
        <f>MAX(-C39+C25,0)</f>
        <v>29612.62</v>
      </c>
      <c r="E45" s="3">
        <f t="shared" ref="E45:F48" si="0">C45/12</f>
        <v>0</v>
      </c>
      <c r="F45" s="2">
        <f t="shared" si="0"/>
        <v>2467.7183333333332</v>
      </c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</row>
    <row r="46" spans="1:50" x14ac:dyDescent="0.25">
      <c r="A46" s="21"/>
      <c r="B46" s="6" t="s">
        <v>25</v>
      </c>
      <c r="C46" s="3">
        <f>MAX(D39-D25,0)</f>
        <v>0</v>
      </c>
      <c r="D46" s="2">
        <f>MAX(-D39+D25,0)</f>
        <v>28031.149999999998</v>
      </c>
      <c r="E46" s="3">
        <f t="shared" si="0"/>
        <v>0</v>
      </c>
      <c r="F46" s="2">
        <f t="shared" si="0"/>
        <v>2335.9291666666663</v>
      </c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</row>
    <row r="47" spans="1:50" x14ac:dyDescent="0.25">
      <c r="A47" s="21"/>
      <c r="B47" s="5" t="s">
        <v>24</v>
      </c>
      <c r="C47" s="3">
        <f>MAX(E39-E25,0)</f>
        <v>0</v>
      </c>
      <c r="D47" s="2">
        <f>MAX(E25-E39,0)</f>
        <v>16328.735999999997</v>
      </c>
      <c r="E47" s="3">
        <f t="shared" si="0"/>
        <v>0</v>
      </c>
      <c r="F47" s="2">
        <f t="shared" si="0"/>
        <v>1360.7279999999998</v>
      </c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</row>
    <row r="48" spans="1:50" x14ac:dyDescent="0.25">
      <c r="A48" s="21"/>
      <c r="B48" s="4" t="s">
        <v>23</v>
      </c>
      <c r="C48" s="3">
        <f>MAX(F39-F25,0)</f>
        <v>0</v>
      </c>
      <c r="D48" s="2">
        <f>MAX(-F39+F25,0)</f>
        <v>33170.76</v>
      </c>
      <c r="E48" s="3">
        <f t="shared" si="0"/>
        <v>0</v>
      </c>
      <c r="F48" s="2">
        <f t="shared" si="0"/>
        <v>2764.23</v>
      </c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</row>
    <row r="49" spans="1:50" x14ac:dyDescent="0.2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</row>
    <row r="50" spans="1:50" x14ac:dyDescent="0.2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</row>
    <row r="51" spans="1:50" ht="29.25" customHeight="1" x14ac:dyDescent="0.25">
      <c r="A51" s="21"/>
      <c r="B51" s="21"/>
      <c r="C51" s="30" t="s">
        <v>38</v>
      </c>
      <c r="D51" s="30"/>
      <c r="E51" s="30"/>
      <c r="F51" s="30"/>
      <c r="G51" s="30"/>
      <c r="H51" s="25">
        <v>0.1</v>
      </c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</row>
    <row r="52" spans="1:50" ht="51.75" customHeight="1" x14ac:dyDescent="0.25">
      <c r="A52" s="21"/>
      <c r="B52" s="21"/>
      <c r="C52" s="29" t="s">
        <v>44</v>
      </c>
      <c r="D52" s="29"/>
      <c r="E52" s="29"/>
      <c r="F52" s="29"/>
      <c r="G52" s="20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</row>
    <row r="53" spans="1:50" ht="34.5" customHeight="1" x14ac:dyDescent="0.25">
      <c r="A53" s="21"/>
      <c r="B53" s="21"/>
      <c r="C53" s="19" t="s">
        <v>39</v>
      </c>
      <c r="D53" s="19" t="s">
        <v>40</v>
      </c>
      <c r="E53" s="19" t="s">
        <v>41</v>
      </c>
      <c r="F53" s="19" t="s">
        <v>23</v>
      </c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</row>
    <row r="54" spans="1:50" ht="45" customHeight="1" x14ac:dyDescent="0.25">
      <c r="A54" s="27" t="s">
        <v>42</v>
      </c>
      <c r="B54" s="27"/>
      <c r="C54" s="17">
        <f>ROUND(LOG(D45/12/C2+1)/LOG(1+H51),1)</f>
        <v>8.4</v>
      </c>
      <c r="D54" s="17">
        <f>ROUND(LOG(D46/12/C2+1)/LOG(1+H51),1)</f>
        <v>8.1</v>
      </c>
      <c r="E54" s="17">
        <f>ROUND(LOG(D47/12/C2+1)/LOG(1+H51),1)</f>
        <v>5.4</v>
      </c>
      <c r="F54" s="17">
        <f>ROUND(LOG(D48/12/C2+1)/LOG(1+H51),1)</f>
        <v>9.1</v>
      </c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</row>
    <row r="55" spans="1:50" ht="30.75" customHeight="1" x14ac:dyDescent="0.25">
      <c r="A55" s="27" t="s">
        <v>43</v>
      </c>
      <c r="B55" s="28"/>
      <c r="C55" s="18">
        <f>C2*(1+H51)^C54</f>
        <v>4453.7778492894686</v>
      </c>
      <c r="D55" s="18">
        <f>C2*(1+H51)^D54</f>
        <v>4328.2341313571505</v>
      </c>
      <c r="E55" s="18">
        <f>C2*(1+H51)^E54</f>
        <v>3346.1892180987729</v>
      </c>
      <c r="F55" s="18">
        <f>C2*(1+H51)^F54</f>
        <v>4761.0575444928654</v>
      </c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</row>
    <row r="56" spans="1:50" x14ac:dyDescent="0.25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</row>
    <row r="57" spans="1:50" x14ac:dyDescent="0.25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</row>
    <row r="58" spans="1:50" x14ac:dyDescent="0.25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</row>
    <row r="59" spans="1:50" x14ac:dyDescent="0.25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</row>
    <row r="60" spans="1:50" x14ac:dyDescent="0.25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</row>
    <row r="61" spans="1:50" x14ac:dyDescent="0.25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</row>
    <row r="62" spans="1:50" x14ac:dyDescent="0.25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</row>
    <row r="63" spans="1:50" x14ac:dyDescent="0.25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</row>
    <row r="64" spans="1:50" x14ac:dyDescent="0.25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</row>
    <row r="65" spans="1:50" x14ac:dyDescent="0.2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</row>
    <row r="66" spans="1:50" x14ac:dyDescent="0.25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</row>
    <row r="67" spans="1:50" x14ac:dyDescent="0.25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</row>
    <row r="68" spans="1:50" x14ac:dyDescent="0.25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</row>
    <row r="69" spans="1:50" x14ac:dyDescent="0.25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</row>
    <row r="70" spans="1:50" x14ac:dyDescent="0.25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</row>
    <row r="71" spans="1:50" x14ac:dyDescent="0.25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</row>
    <row r="72" spans="1:50" x14ac:dyDescent="0.25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</row>
    <row r="73" spans="1:50" x14ac:dyDescent="0.25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</row>
    <row r="74" spans="1:50" x14ac:dyDescent="0.25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</row>
    <row r="75" spans="1:50" x14ac:dyDescent="0.25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</row>
    <row r="76" spans="1:50" x14ac:dyDescent="0.25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</row>
    <row r="77" spans="1:50" x14ac:dyDescent="0.25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</row>
    <row r="78" spans="1:50" x14ac:dyDescent="0.25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</row>
    <row r="79" spans="1:50" x14ac:dyDescent="0.25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</row>
    <row r="80" spans="1:50" x14ac:dyDescent="0.25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</row>
    <row r="81" spans="1:37" x14ac:dyDescent="0.25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</row>
    <row r="82" spans="1:37" x14ac:dyDescent="0.25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</row>
    <row r="83" spans="1:37" x14ac:dyDescent="0.25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</row>
    <row r="84" spans="1:37" x14ac:dyDescent="0.25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</row>
    <row r="85" spans="1:37" x14ac:dyDescent="0.25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</row>
    <row r="86" spans="1:37" x14ac:dyDescent="0.25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</row>
    <row r="87" spans="1:37" x14ac:dyDescent="0.25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</row>
    <row r="88" spans="1:37" x14ac:dyDescent="0.25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</row>
    <row r="89" spans="1:37" x14ac:dyDescent="0.25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</row>
    <row r="90" spans="1:37" x14ac:dyDescent="0.25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</row>
    <row r="91" spans="1:37" x14ac:dyDescent="0.25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</row>
    <row r="92" spans="1:37" x14ac:dyDescent="0.25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</row>
    <row r="93" spans="1:37" x14ac:dyDescent="0.25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</row>
    <row r="94" spans="1:37" x14ac:dyDescent="0.25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</row>
    <row r="95" spans="1:37" x14ac:dyDescent="0.25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</row>
    <row r="96" spans="1:37" x14ac:dyDescent="0.25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</row>
    <row r="97" spans="1:37" x14ac:dyDescent="0.25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</row>
    <row r="98" spans="1:37" x14ac:dyDescent="0.25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</row>
    <row r="99" spans="1:37" x14ac:dyDescent="0.25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</row>
    <row r="100" spans="1:37" x14ac:dyDescent="0.25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</row>
    <row r="101" spans="1:37" x14ac:dyDescent="0.25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</row>
    <row r="102" spans="1:37" x14ac:dyDescent="0.25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</row>
    <row r="103" spans="1:37" x14ac:dyDescent="0.25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</row>
    <row r="104" spans="1:37" x14ac:dyDescent="0.25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</row>
    <row r="105" spans="1:37" x14ac:dyDescent="0.25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</row>
    <row r="106" spans="1:37" x14ac:dyDescent="0.25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</row>
    <row r="107" spans="1:37" x14ac:dyDescent="0.25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</row>
    <row r="108" spans="1:37" x14ac:dyDescent="0.25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</row>
    <row r="109" spans="1:37" x14ac:dyDescent="0.25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</row>
    <row r="110" spans="1:37" x14ac:dyDescent="0.25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</row>
    <row r="111" spans="1:37" x14ac:dyDescent="0.25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</row>
    <row r="112" spans="1:37" x14ac:dyDescent="0.25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</row>
    <row r="113" spans="1:37" x14ac:dyDescent="0.25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</row>
    <row r="114" spans="1:37" x14ac:dyDescent="0.25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</row>
    <row r="115" spans="1:37" x14ac:dyDescent="0.25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</row>
    <row r="116" spans="1:37" x14ac:dyDescent="0.25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</row>
    <row r="117" spans="1:37" x14ac:dyDescent="0.25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</row>
    <row r="118" spans="1:37" x14ac:dyDescent="0.25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</row>
    <row r="119" spans="1:37" x14ac:dyDescent="0.25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</row>
    <row r="120" spans="1:37" x14ac:dyDescent="0.25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</row>
    <row r="121" spans="1:37" x14ac:dyDescent="0.25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</row>
    <row r="122" spans="1:37" x14ac:dyDescent="0.25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</row>
    <row r="123" spans="1:37" x14ac:dyDescent="0.25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</row>
    <row r="124" spans="1:37" x14ac:dyDescent="0.25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</row>
    <row r="125" spans="1:37" x14ac:dyDescent="0.25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</row>
    <row r="126" spans="1:37" x14ac:dyDescent="0.25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</row>
    <row r="127" spans="1:37" x14ac:dyDescent="0.25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</row>
    <row r="128" spans="1:37" x14ac:dyDescent="0.25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</row>
    <row r="129" spans="1:37" x14ac:dyDescent="0.25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</row>
    <row r="130" spans="1:37" x14ac:dyDescent="0.25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</row>
    <row r="131" spans="1:37" x14ac:dyDescent="0.25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</row>
    <row r="132" spans="1:37" x14ac:dyDescent="0.25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</row>
    <row r="133" spans="1:37" x14ac:dyDescent="0.25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</row>
    <row r="134" spans="1:37" x14ac:dyDescent="0.25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</row>
    <row r="135" spans="1:37" x14ac:dyDescent="0.25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</row>
    <row r="136" spans="1:37" x14ac:dyDescent="0.25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</row>
    <row r="137" spans="1:37" x14ac:dyDescent="0.25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</row>
    <row r="138" spans="1:37" x14ac:dyDescent="0.25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</row>
    <row r="139" spans="1:37" x14ac:dyDescent="0.25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</row>
    <row r="140" spans="1:37" x14ac:dyDescent="0.25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</row>
    <row r="141" spans="1:37" x14ac:dyDescent="0.25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</row>
    <row r="142" spans="1:37" x14ac:dyDescent="0.25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</row>
    <row r="143" spans="1:37" x14ac:dyDescent="0.25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</row>
    <row r="144" spans="1:37" x14ac:dyDescent="0.25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</row>
    <row r="145" spans="1:37" x14ac:dyDescent="0.25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</row>
    <row r="146" spans="1:37" x14ac:dyDescent="0.25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</row>
    <row r="147" spans="1:37" x14ac:dyDescent="0.25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</row>
    <row r="148" spans="1:37" x14ac:dyDescent="0.25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</row>
    <row r="149" spans="1:37" x14ac:dyDescent="0.25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</row>
    <row r="150" spans="1:37" x14ac:dyDescent="0.25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</row>
    <row r="151" spans="1:37" x14ac:dyDescent="0.25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</row>
    <row r="152" spans="1:37" x14ac:dyDescent="0.25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</row>
    <row r="153" spans="1:37" x14ac:dyDescent="0.25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</row>
    <row r="154" spans="1:37" x14ac:dyDescent="0.25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</row>
    <row r="155" spans="1:37" x14ac:dyDescent="0.25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</row>
    <row r="156" spans="1:37" x14ac:dyDescent="0.25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</row>
    <row r="157" spans="1:37" x14ac:dyDescent="0.25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</row>
    <row r="158" spans="1:37" x14ac:dyDescent="0.25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</row>
    <row r="159" spans="1:37" x14ac:dyDescent="0.25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</row>
    <row r="160" spans="1:37" x14ac:dyDescent="0.25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</row>
    <row r="161" spans="1:37" x14ac:dyDescent="0.25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</row>
    <row r="162" spans="1:37" x14ac:dyDescent="0.25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</row>
    <row r="163" spans="1:37" x14ac:dyDescent="0.25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</row>
    <row r="164" spans="1:37" x14ac:dyDescent="0.25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</row>
    <row r="165" spans="1:37" x14ac:dyDescent="0.25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</row>
    <row r="166" spans="1:37" x14ac:dyDescent="0.25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</row>
    <row r="167" spans="1:37" x14ac:dyDescent="0.25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</row>
    <row r="168" spans="1:37" x14ac:dyDescent="0.25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</row>
    <row r="169" spans="1:37" x14ac:dyDescent="0.25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</row>
    <row r="170" spans="1:37" x14ac:dyDescent="0.25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</row>
    <row r="171" spans="1:37" x14ac:dyDescent="0.25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</row>
    <row r="172" spans="1:37" x14ac:dyDescent="0.25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</row>
    <row r="173" spans="1:37" x14ac:dyDescent="0.25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</row>
    <row r="174" spans="1:37" x14ac:dyDescent="0.25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</row>
    <row r="175" spans="1:37" x14ac:dyDescent="0.25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</row>
    <row r="176" spans="1:37" x14ac:dyDescent="0.25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</row>
  </sheetData>
  <sheetProtection password="C5BA" sheet="1" objects="1" scenarios="1"/>
  <mergeCells count="38">
    <mergeCell ref="A1:B1"/>
    <mergeCell ref="A7:B7"/>
    <mergeCell ref="A15:F15"/>
    <mergeCell ref="A16:B16"/>
    <mergeCell ref="A29:F29"/>
    <mergeCell ref="A2:B2"/>
    <mergeCell ref="A3:B3"/>
    <mergeCell ref="A4:B4"/>
    <mergeCell ref="A5:B5"/>
    <mergeCell ref="A8:B8"/>
    <mergeCell ref="D8:D9"/>
    <mergeCell ref="E8:E9"/>
    <mergeCell ref="A11:B11"/>
    <mergeCell ref="A9:B9"/>
    <mergeCell ref="A17:B17"/>
    <mergeCell ref="A10:B10"/>
    <mergeCell ref="A55:B55"/>
    <mergeCell ref="C52:F52"/>
    <mergeCell ref="C51:G51"/>
    <mergeCell ref="A54:B54"/>
    <mergeCell ref="A22:B22"/>
    <mergeCell ref="A23:B23"/>
    <mergeCell ref="A30:B30"/>
    <mergeCell ref="A24:B24"/>
    <mergeCell ref="A25:B25"/>
    <mergeCell ref="A32:B32"/>
    <mergeCell ref="B43:F43"/>
    <mergeCell ref="A34:B34"/>
    <mergeCell ref="A35:B35"/>
    <mergeCell ref="A36:B36"/>
    <mergeCell ref="A37:B37"/>
    <mergeCell ref="A38:B38"/>
    <mergeCell ref="A18:B18"/>
    <mergeCell ref="A39:B39"/>
    <mergeCell ref="A33:B33"/>
    <mergeCell ref="A19:B19"/>
    <mergeCell ref="A20:B20"/>
    <mergeCell ref="A21:B21"/>
  </mergeCell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Arkusz2!$A$2:$A$10</xm:f>
          </x14:formula1>
          <xm:sqref>C10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workbookViewId="0">
      <selection activeCell="A10" sqref="A10"/>
    </sheetView>
  </sheetViews>
  <sheetFormatPr defaultRowHeight="15" x14ac:dyDescent="0.25"/>
  <sheetData>
    <row r="1" spans="1:1" x14ac:dyDescent="0.25">
      <c r="A1" t="s">
        <v>17</v>
      </c>
    </row>
    <row r="2" spans="1:1" x14ac:dyDescent="0.25">
      <c r="A2" s="1">
        <v>0.03</v>
      </c>
    </row>
    <row r="3" spans="1:1" x14ac:dyDescent="0.25">
      <c r="A3" s="1">
        <v>5.5E-2</v>
      </c>
    </row>
    <row r="4" spans="1:1" x14ac:dyDescent="0.25">
      <c r="A4" s="1">
        <v>8.5000000000000006E-2</v>
      </c>
    </row>
    <row r="5" spans="1:1" x14ac:dyDescent="0.25">
      <c r="A5" s="1">
        <v>0.1</v>
      </c>
    </row>
    <row r="6" spans="1:1" x14ac:dyDescent="0.25">
      <c r="A6" s="1">
        <v>0.12</v>
      </c>
    </row>
    <row r="7" spans="1:1" x14ac:dyDescent="0.25">
      <c r="A7" s="1">
        <v>0.125</v>
      </c>
    </row>
    <row r="8" spans="1:1" x14ac:dyDescent="0.25">
      <c r="A8" s="1">
        <v>0.14000000000000001</v>
      </c>
    </row>
    <row r="9" spans="1:1" x14ac:dyDescent="0.25">
      <c r="A9" s="1">
        <v>0.15</v>
      </c>
    </row>
    <row r="10" spans="1:1" x14ac:dyDescent="0.25">
      <c r="A10" s="1">
        <v>0.17</v>
      </c>
    </row>
    <row r="11" spans="1:1" x14ac:dyDescent="0.25">
      <c r="A11" s="1"/>
    </row>
    <row r="12" spans="1:1" x14ac:dyDescent="0.25">
      <c r="A12" s="1"/>
    </row>
    <row r="13" spans="1:1" x14ac:dyDescent="0.25">
      <c r="A13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lta@logotech.com.pl</dc:creator>
  <cp:lastModifiedBy>lta@logotech.com.pl</cp:lastModifiedBy>
  <dcterms:created xsi:type="dcterms:W3CDTF">2021-12-20T12:04:47Z</dcterms:created>
  <dcterms:modified xsi:type="dcterms:W3CDTF">2021-12-22T08:51:57Z</dcterms:modified>
</cp:coreProperties>
</file>